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030" windowHeight="7320"/>
  </bookViews>
  <sheets>
    <sheet name="PENMONTX" sheetId="1" r:id="rId1"/>
  </sheets>
  <definedNames>
    <definedName name="_Regression_Int" localSheetId="0" hidden="1">1</definedName>
    <definedName name="_xlnm.Print_Area" localSheetId="0">PENMONTX!$C$1:$H$45</definedName>
    <definedName name="Print_Area_MI" localSheetId="0">PENMONTX!$C$1:$H$45</definedName>
  </definedNames>
  <calcPr calcId="125725" iterate="1"/>
</workbook>
</file>

<file path=xl/calcChain.xml><?xml version="1.0" encoding="utf-8"?>
<calcChain xmlns="http://schemas.openxmlformats.org/spreadsheetml/2006/main">
  <c r="B18" i="1"/>
  <c r="B19"/>
  <c r="E19"/>
  <c r="B20"/>
  <c r="B22"/>
  <c r="E18" s="1"/>
  <c r="E20" s="1"/>
  <c r="E21" s="1"/>
  <c r="B21" s="1"/>
  <c r="B23"/>
  <c r="B24"/>
  <c r="B26"/>
  <c r="B27"/>
  <c r="E27"/>
  <c r="B31"/>
  <c r="D34" l="1"/>
  <c r="F34" s="1"/>
  <c r="E22"/>
  <c r="E23" s="1"/>
  <c r="E26" s="1"/>
  <c r="D29" s="1"/>
  <c r="D31" l="1"/>
  <c r="F31" s="1"/>
  <c r="D33" s="1"/>
  <c r="F33" s="1"/>
</calcChain>
</file>

<file path=xl/sharedStrings.xml><?xml version="1.0" encoding="utf-8"?>
<sst xmlns="http://schemas.openxmlformats.org/spreadsheetml/2006/main" count="82" uniqueCount="73">
  <si>
    <t>ET CALCULATIONS via PENMAN-MONTEITH EQUATION</t>
  </si>
  <si>
    <t>m</t>
  </si>
  <si>
    <t>MJ/m^2 day</t>
  </si>
  <si>
    <t>C</t>
  </si>
  <si>
    <t>kPa</t>
  </si>
  <si>
    <t>m/s</t>
  </si>
  <si>
    <t>cm</t>
  </si>
  <si>
    <t>kg/m^3</t>
  </si>
  <si>
    <t>MJ/kg</t>
  </si>
  <si>
    <t>kPa/K</t>
  </si>
  <si>
    <t>mm/s</t>
  </si>
  <si>
    <t xml:space="preserve"> Penman-Monteith ET rate =</t>
  </si>
  <si>
    <t>mm/s          =</t>
  </si>
  <si>
    <t>mm/day</t>
  </si>
  <si>
    <t>Canopy interception loss rate =</t>
  </si>
  <si>
    <t>PenMontX.xls</t>
  </si>
  <si>
    <t>Input Data</t>
  </si>
  <si>
    <t>Calculated Values</t>
  </si>
  <si>
    <r>
      <t>zveg</t>
    </r>
    <r>
      <rPr>
        <sz val="10"/>
        <rFont val="Arial"/>
        <family val="2"/>
      </rPr>
      <t xml:space="preserve"> =</t>
    </r>
  </si>
  <si>
    <r>
      <t>LAI</t>
    </r>
    <r>
      <rPr>
        <sz val="10"/>
        <rFont val="Arial"/>
        <family val="2"/>
      </rPr>
      <t xml:space="preserve"> =</t>
    </r>
  </si>
  <si>
    <r>
      <t>fs</t>
    </r>
    <r>
      <rPr>
        <sz val="10"/>
        <rFont val="Arial"/>
        <family val="2"/>
      </rPr>
      <t xml:space="preserve"> =</t>
    </r>
  </si>
  <si>
    <r>
      <t>C*leaf</t>
    </r>
    <r>
      <rPr>
        <sz val="10"/>
        <rFont val="Arial"/>
        <family val="2"/>
      </rPr>
      <t xml:space="preserve"> =</t>
    </r>
  </si>
  <si>
    <r>
      <t>P</t>
    </r>
    <r>
      <rPr>
        <sz val="10"/>
        <rFont val="Arial"/>
        <family val="2"/>
      </rPr>
      <t xml:space="preserve"> =</t>
    </r>
  </si>
  <si>
    <r>
      <t>a</t>
    </r>
    <r>
      <rPr>
        <sz val="10"/>
        <rFont val="Arial"/>
        <family val="2"/>
      </rPr>
      <t xml:space="preserve"> =</t>
    </r>
  </si>
  <si>
    <r>
      <t>Ta</t>
    </r>
    <r>
      <rPr>
        <sz val="10"/>
        <rFont val="Arial"/>
        <family val="2"/>
      </rPr>
      <t xml:space="preserve"> =</t>
    </r>
  </si>
  <si>
    <r>
      <t>Wa</t>
    </r>
    <r>
      <rPr>
        <sz val="10"/>
        <rFont val="Arial"/>
        <family val="2"/>
      </rPr>
      <t xml:space="preserve"> =</t>
    </r>
  </si>
  <si>
    <r>
      <t>va</t>
    </r>
    <r>
      <rPr>
        <sz val="10"/>
        <rFont val="Arial"/>
        <family val="2"/>
      </rPr>
      <t xml:space="preserve"> =</t>
    </r>
  </si>
  <si>
    <r>
      <t>Dq</t>
    </r>
    <r>
      <rPr>
        <sz val="10"/>
        <rFont val="Arial"/>
        <family val="2"/>
      </rPr>
      <t xml:space="preserve"> =</t>
    </r>
  </si>
  <si>
    <t>MJ/m^2 day; See SolarRad.xls</t>
  </si>
  <si>
    <t>Vegetation Type, Season:</t>
  </si>
  <si>
    <t>Weather, Soil:</t>
  </si>
  <si>
    <r>
      <t>r</t>
    </r>
    <r>
      <rPr>
        <i/>
        <sz val="10"/>
        <rFont val="Arial"/>
        <family val="2"/>
      </rPr>
      <t>w</t>
    </r>
    <r>
      <rPr>
        <sz val="10"/>
        <rFont val="Arial"/>
        <family val="2"/>
      </rPr>
      <t xml:space="preserve"> =</t>
    </r>
  </si>
  <si>
    <r>
      <t>r</t>
    </r>
    <r>
      <rPr>
        <sz val="10"/>
        <rFont val="Arial"/>
        <family val="2"/>
      </rPr>
      <t>a =</t>
    </r>
  </si>
  <si>
    <r>
      <t>l</t>
    </r>
    <r>
      <rPr>
        <i/>
        <sz val="10"/>
        <rFont val="Arial"/>
        <family val="2"/>
      </rPr>
      <t>v</t>
    </r>
    <r>
      <rPr>
        <sz val="10"/>
        <rFont val="Arial"/>
        <family val="2"/>
      </rPr>
      <t xml:space="preserve"> =</t>
    </r>
  </si>
  <si>
    <r>
      <t>e*a</t>
    </r>
    <r>
      <rPr>
        <sz val="10"/>
        <rFont val="Arial"/>
        <family val="2"/>
      </rPr>
      <t xml:space="preserve"> =</t>
    </r>
  </si>
  <si>
    <r>
      <t>D</t>
    </r>
    <r>
      <rPr>
        <sz val="10"/>
        <rFont val="Arial"/>
        <family val="2"/>
      </rPr>
      <t xml:space="preserve"> =</t>
    </r>
  </si>
  <si>
    <r>
      <t>g</t>
    </r>
    <r>
      <rPr>
        <sz val="10"/>
        <rFont val="Arial"/>
        <family val="2"/>
      </rPr>
      <t xml:space="preserve"> =</t>
    </r>
  </si>
  <si>
    <r>
      <t>ea</t>
    </r>
    <r>
      <rPr>
        <sz val="10"/>
        <rFont val="Arial"/>
        <family val="2"/>
      </rPr>
      <t xml:space="preserve"> =</t>
    </r>
  </si>
  <si>
    <r>
      <t>D</t>
    </r>
    <r>
      <rPr>
        <i/>
        <sz val="10"/>
        <rFont val="Arial"/>
        <family val="2"/>
      </rPr>
      <t>ea</t>
    </r>
    <r>
      <rPr>
        <sz val="10"/>
        <rFont val="Arial"/>
        <family val="2"/>
      </rPr>
      <t xml:space="preserve"> =</t>
    </r>
  </si>
  <si>
    <r>
      <t>Dr</t>
    </r>
    <r>
      <rPr>
        <i/>
        <sz val="10"/>
        <rFont val="Arial"/>
        <family val="2"/>
      </rPr>
      <t>v</t>
    </r>
    <r>
      <rPr>
        <sz val="10"/>
        <rFont val="Arial"/>
        <family val="2"/>
      </rPr>
      <t xml:space="preserve"> =</t>
    </r>
  </si>
  <si>
    <r>
      <t>f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Kin</t>
    </r>
    <r>
      <rPr>
        <sz val="10"/>
        <rFont val="Arial"/>
        <family val="2"/>
      </rPr>
      <t>) =</t>
    </r>
  </si>
  <si>
    <r>
      <t>f(</t>
    </r>
    <r>
      <rPr>
        <i/>
        <sz val="10"/>
        <rFont val="Symbol"/>
        <family val="1"/>
        <charset val="2"/>
      </rPr>
      <t>Dr</t>
    </r>
    <r>
      <rPr>
        <i/>
        <sz val="10"/>
        <rFont val="Arial"/>
        <family val="2"/>
      </rPr>
      <t>v)</t>
    </r>
    <r>
      <rPr>
        <sz val="10"/>
        <rFont val="Arial"/>
        <family val="2"/>
      </rPr>
      <t xml:space="preserve"> =</t>
    </r>
  </si>
  <si>
    <r>
      <t>f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Ta</t>
    </r>
    <r>
      <rPr>
        <sz val="10"/>
        <rFont val="Arial"/>
        <family val="2"/>
      </rPr>
      <t>) =</t>
    </r>
  </si>
  <si>
    <r>
      <t>f</t>
    </r>
    <r>
      <rPr>
        <sz val="10"/>
        <rFont val="Arial"/>
        <family val="2"/>
      </rPr>
      <t>(</t>
    </r>
    <r>
      <rPr>
        <i/>
        <sz val="10"/>
        <rFont val="Symbol"/>
        <family val="1"/>
        <charset val="2"/>
      </rPr>
      <t>Dq</t>
    </r>
    <r>
      <rPr>
        <sz val="10"/>
        <rFont val="Arial"/>
        <family val="2"/>
      </rPr>
      <t>) =</t>
    </r>
  </si>
  <si>
    <r>
      <t>f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Kin</t>
    </r>
    <r>
      <rPr>
        <sz val="10"/>
        <rFont val="Arial"/>
        <family val="2"/>
      </rPr>
      <t>)</t>
    </r>
    <r>
      <rPr>
        <i/>
        <sz val="10"/>
        <rFont val="Arial"/>
        <family val="2"/>
      </rPr>
      <t>*f</t>
    </r>
    <r>
      <rPr>
        <sz val="10"/>
        <rFont val="Arial"/>
        <family val="2"/>
      </rPr>
      <t>(</t>
    </r>
    <r>
      <rPr>
        <i/>
        <sz val="10"/>
        <rFont val="Symbol"/>
        <family val="1"/>
        <charset val="2"/>
      </rPr>
      <t>Dr</t>
    </r>
    <r>
      <rPr>
        <i/>
        <sz val="10"/>
        <rFont val="Arial"/>
        <family val="2"/>
      </rPr>
      <t>v</t>
    </r>
    <r>
      <rPr>
        <sz val="10"/>
        <rFont val="Arial"/>
        <family val="2"/>
      </rPr>
      <t>)</t>
    </r>
    <r>
      <rPr>
        <i/>
        <sz val="10"/>
        <rFont val="Arial"/>
        <family val="2"/>
      </rPr>
      <t>*f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Ta</t>
    </r>
    <r>
      <rPr>
        <sz val="10"/>
        <rFont val="Arial"/>
        <family val="2"/>
      </rPr>
      <t>)</t>
    </r>
    <r>
      <rPr>
        <i/>
        <sz val="10"/>
        <rFont val="Arial"/>
        <family val="2"/>
      </rPr>
      <t>*f</t>
    </r>
    <r>
      <rPr>
        <sz val="10"/>
        <rFont val="Arial"/>
        <family val="2"/>
      </rPr>
      <t>(</t>
    </r>
    <r>
      <rPr>
        <i/>
        <sz val="10"/>
        <rFont val="Symbol"/>
        <family val="1"/>
        <charset val="2"/>
      </rPr>
      <t>Dq</t>
    </r>
    <r>
      <rPr>
        <sz val="10"/>
        <rFont val="Arial"/>
        <family val="2"/>
      </rPr>
      <t>) =</t>
    </r>
  </si>
  <si>
    <r>
      <t>Cat</t>
    </r>
    <r>
      <rPr>
        <sz val="10"/>
        <rFont val="Arial"/>
        <family val="2"/>
      </rPr>
      <t xml:space="preserve"> =</t>
    </r>
  </si>
  <si>
    <r>
      <t xml:space="preserve">mm/s  </t>
    </r>
    <r>
      <rPr>
        <i/>
        <sz val="10"/>
        <rFont val="Arial"/>
        <family val="2"/>
      </rPr>
      <t>Cleaf</t>
    </r>
    <r>
      <rPr>
        <sz val="10"/>
        <rFont val="Arial"/>
        <family val="2"/>
      </rPr>
      <t xml:space="preserve"> =</t>
    </r>
  </si>
  <si>
    <r>
      <t xml:space="preserve">mm/s  </t>
    </r>
    <r>
      <rPr>
        <i/>
        <sz val="10"/>
        <rFont val="Arial"/>
        <family val="2"/>
      </rPr>
      <t>Ccan</t>
    </r>
    <r>
      <rPr>
        <sz val="10"/>
        <rFont val="Arial"/>
        <family val="2"/>
      </rPr>
      <t xml:space="preserve"> =</t>
    </r>
  </si>
  <si>
    <t>mm/s         =</t>
  </si>
  <si>
    <r>
      <t xml:space="preserve">cloud cover, </t>
    </r>
    <r>
      <rPr>
        <i/>
        <sz val="10"/>
        <rFont val="Arial"/>
        <family val="2"/>
      </rPr>
      <t>C =</t>
    </r>
  </si>
  <si>
    <r>
      <t xml:space="preserve">0 &lt;= </t>
    </r>
    <r>
      <rPr>
        <i/>
        <sz val="10"/>
        <rFont val="Arial"/>
        <family val="2"/>
      </rPr>
      <t>C</t>
    </r>
    <r>
      <rPr>
        <sz val="10"/>
        <rFont val="Arial"/>
        <family val="2"/>
      </rPr>
      <t xml:space="preserve"> &lt;= 1</t>
    </r>
  </si>
  <si>
    <r>
      <t>e</t>
    </r>
    <r>
      <rPr>
        <i/>
        <sz val="10"/>
        <rFont val="Arial"/>
        <family val="2"/>
      </rPr>
      <t>at</t>
    </r>
    <r>
      <rPr>
        <sz val="10"/>
        <rFont val="Arial"/>
        <family val="2"/>
      </rPr>
      <t xml:space="preserve"> =</t>
    </r>
  </si>
  <si>
    <t xml:space="preserve">Lecture 14 </t>
  </si>
  <si>
    <t>exercise Penman Monteith</t>
  </si>
  <si>
    <t>Rn</t>
  </si>
  <si>
    <r>
      <t>Rin</t>
    </r>
    <r>
      <rPr>
        <sz val="10"/>
        <rFont val="Arial"/>
        <family val="2"/>
      </rPr>
      <t xml:space="preserve"> =</t>
    </r>
  </si>
  <si>
    <r>
      <t>Rout</t>
    </r>
    <r>
      <rPr>
        <sz val="10"/>
        <rFont val="Arial"/>
        <family val="2"/>
      </rPr>
      <t xml:space="preserve"> =</t>
    </r>
  </si>
  <si>
    <t>LAI</t>
  </si>
  <si>
    <t>Pressure</t>
  </si>
  <si>
    <r>
      <t>clear-sky solar radiation, R</t>
    </r>
    <r>
      <rPr>
        <i/>
        <sz val="10"/>
        <rFont val="Arial"/>
        <family val="2"/>
      </rPr>
      <t>cs</t>
    </r>
    <r>
      <rPr>
        <sz val="10"/>
        <rFont val="Arial"/>
        <family val="2"/>
      </rPr>
      <t xml:space="preserve"> =</t>
    </r>
  </si>
  <si>
    <t>Radiation clear sky</t>
  </si>
  <si>
    <t>Cloud cover</t>
  </si>
  <si>
    <t>Albedo</t>
  </si>
  <si>
    <t>Heigth veg</t>
  </si>
  <si>
    <t>Conductance leaf</t>
  </si>
  <si>
    <t>Air Temp</t>
  </si>
  <si>
    <t>Relative humidity</t>
  </si>
  <si>
    <t>Wind velocity</t>
  </si>
  <si>
    <t>Soil Moisture Deficit</t>
  </si>
  <si>
    <t>mm/s Table 1</t>
  </si>
  <si>
    <t>See Table 1</t>
  </si>
  <si>
    <t xml:space="preserve">MJ/m^2 day; </t>
  </si>
  <si>
    <t>Factor for transpirational leaf area index</t>
  </si>
</sst>
</file>

<file path=xl/styles.xml><?xml version="1.0" encoding="utf-8"?>
<styleSheet xmlns="http://schemas.openxmlformats.org/spreadsheetml/2006/main">
  <numFmts count="10">
    <numFmt numFmtId="164" formatCode="General_)"/>
    <numFmt numFmtId="165" formatCode="0.0_)"/>
    <numFmt numFmtId="166" formatCode="0.00_)"/>
    <numFmt numFmtId="167" formatCode="0.00000_)"/>
    <numFmt numFmtId="168" formatCode="0_)"/>
    <numFmt numFmtId="169" formatCode="0.00E+00_)"/>
    <numFmt numFmtId="170" formatCode="0.000_)"/>
    <numFmt numFmtId="171" formatCode="0.0000"/>
    <numFmt numFmtId="172" formatCode="0.000"/>
    <numFmt numFmtId="173" formatCode="0.0"/>
  </numFmts>
  <fonts count="8">
    <font>
      <sz val="12"/>
      <name val="Helv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Helv"/>
    </font>
    <font>
      <b/>
      <sz val="10"/>
      <name val="Arial"/>
      <family val="2"/>
    </font>
    <font>
      <i/>
      <sz val="10"/>
      <name val="Arial"/>
      <family val="2"/>
    </font>
    <font>
      <sz val="10"/>
      <name val="Symbol"/>
      <family val="1"/>
      <charset val="2"/>
    </font>
    <font>
      <i/>
      <sz val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164" fontId="0" fillId="0" borderId="0"/>
  </cellStyleXfs>
  <cellXfs count="100">
    <xf numFmtId="164" fontId="0" fillId="0" borderId="0" xfId="0"/>
    <xf numFmtId="169" fontId="0" fillId="0" borderId="0" xfId="0" applyNumberFormat="1" applyProtection="1"/>
    <xf numFmtId="170" fontId="0" fillId="0" borderId="0" xfId="0" applyNumberFormat="1" applyProtection="1"/>
    <xf numFmtId="164" fontId="1" fillId="0" borderId="0" xfId="0" applyFont="1"/>
    <xf numFmtId="164" fontId="1" fillId="0" borderId="0" xfId="0" applyFont="1" applyAlignment="1" applyProtection="1">
      <alignment horizontal="fill"/>
    </xf>
    <xf numFmtId="164" fontId="1" fillId="0" borderId="0" xfId="0" applyFont="1" applyAlignment="1" applyProtection="1">
      <alignment horizontal="right"/>
    </xf>
    <xf numFmtId="167" fontId="1" fillId="0" borderId="0" xfId="0" applyNumberFormat="1" applyFont="1" applyProtection="1"/>
    <xf numFmtId="169" fontId="1" fillId="0" borderId="0" xfId="0" applyNumberFormat="1" applyFont="1" applyProtection="1"/>
    <xf numFmtId="170" fontId="1" fillId="0" borderId="0" xfId="0" applyNumberFormat="1" applyFont="1" applyProtection="1"/>
    <xf numFmtId="164" fontId="1" fillId="0" borderId="0" xfId="0" quotePrefix="1" applyFont="1" applyAlignment="1">
      <alignment horizontal="right"/>
    </xf>
    <xf numFmtId="164" fontId="0" fillId="0" borderId="0" xfId="0" quotePrefix="1" applyAlignment="1">
      <alignment horizontal="left"/>
    </xf>
    <xf numFmtId="164" fontId="1" fillId="0" borderId="0" xfId="0" quotePrefix="1" applyFont="1" applyAlignment="1" applyProtection="1">
      <alignment horizontal="center"/>
    </xf>
    <xf numFmtId="164" fontId="3" fillId="0" borderId="0" xfId="0" applyFont="1"/>
    <xf numFmtId="164" fontId="4" fillId="0" borderId="0" xfId="0" applyFont="1" applyAlignment="1" applyProtection="1">
      <alignment horizontal="center"/>
    </xf>
    <xf numFmtId="164" fontId="1" fillId="2" borderId="0" xfId="0" applyFont="1" applyFill="1"/>
    <xf numFmtId="164" fontId="1" fillId="2" borderId="0" xfId="0" quotePrefix="1" applyFont="1" applyFill="1" applyAlignment="1" applyProtection="1">
      <alignment horizontal="right"/>
    </xf>
    <xf numFmtId="164" fontId="1" fillId="2" borderId="0" xfId="0" applyFont="1" applyFill="1" applyAlignment="1">
      <alignment horizontal="right"/>
    </xf>
    <xf numFmtId="164" fontId="5" fillId="2" borderId="0" xfId="0" applyFont="1" applyFill="1" applyAlignment="1">
      <alignment horizontal="right"/>
    </xf>
    <xf numFmtId="164" fontId="1" fillId="3" borderId="0" xfId="0" applyFont="1" applyFill="1" applyAlignment="1">
      <alignment horizontal="center"/>
    </xf>
    <xf numFmtId="164" fontId="1" fillId="4" borderId="0" xfId="0" applyFont="1" applyFill="1" applyAlignment="1" applyProtection="1">
      <alignment horizontal="center"/>
    </xf>
    <xf numFmtId="164" fontId="1" fillId="0" borderId="0" xfId="0" applyFont="1" applyFill="1" applyAlignment="1" applyProtection="1">
      <alignment horizontal="left"/>
    </xf>
    <xf numFmtId="164" fontId="0" fillId="0" borderId="1" xfId="0" applyBorder="1"/>
    <xf numFmtId="164" fontId="4" fillId="0" borderId="2" xfId="0" applyFont="1" applyBorder="1" applyAlignment="1">
      <alignment horizontal="right"/>
    </xf>
    <xf numFmtId="164" fontId="5" fillId="0" borderId="2" xfId="0" quotePrefix="1" applyFont="1" applyBorder="1" applyAlignment="1" applyProtection="1">
      <alignment horizontal="right"/>
    </xf>
    <xf numFmtId="164" fontId="1" fillId="3" borderId="2" xfId="0" applyFont="1" applyFill="1" applyBorder="1" applyProtection="1">
      <protection locked="0"/>
    </xf>
    <xf numFmtId="164" fontId="1" fillId="0" borderId="2" xfId="0" applyFont="1" applyBorder="1" applyAlignment="1" applyProtection="1">
      <alignment horizontal="left"/>
    </xf>
    <xf numFmtId="164" fontId="0" fillId="0" borderId="2" xfId="0" applyBorder="1"/>
    <xf numFmtId="164" fontId="0" fillId="0" borderId="3" xfId="0" applyBorder="1"/>
    <xf numFmtId="164" fontId="0" fillId="0" borderId="4" xfId="0" applyBorder="1"/>
    <xf numFmtId="164" fontId="1" fillId="0" borderId="0" xfId="0" applyFont="1" applyBorder="1"/>
    <xf numFmtId="164" fontId="5" fillId="0" borderId="0" xfId="0" applyFont="1" applyBorder="1" applyAlignment="1">
      <alignment horizontal="right"/>
    </xf>
    <xf numFmtId="164" fontId="0" fillId="0" borderId="0" xfId="0" applyBorder="1"/>
    <xf numFmtId="164" fontId="0" fillId="0" borderId="5" xfId="0" applyBorder="1"/>
    <xf numFmtId="164" fontId="5" fillId="0" borderId="0" xfId="0" quotePrefix="1" applyFont="1" applyBorder="1" applyAlignment="1" applyProtection="1">
      <alignment horizontal="right"/>
    </xf>
    <xf numFmtId="2" fontId="1" fillId="3" borderId="0" xfId="0" applyNumberFormat="1" applyFont="1" applyFill="1" applyBorder="1" applyProtection="1">
      <protection locked="0"/>
    </xf>
    <xf numFmtId="164" fontId="1" fillId="0" borderId="0" xfId="0" quotePrefix="1" applyFont="1" applyBorder="1" applyAlignment="1" applyProtection="1">
      <alignment horizontal="left"/>
    </xf>
    <xf numFmtId="164" fontId="1" fillId="3" borderId="0" xfId="0" applyFont="1" applyFill="1" applyBorder="1" applyProtection="1">
      <protection locked="0"/>
    </xf>
    <xf numFmtId="164" fontId="1" fillId="0" borderId="0" xfId="0" applyFont="1" applyBorder="1" applyAlignment="1" applyProtection="1">
      <alignment horizontal="left"/>
    </xf>
    <xf numFmtId="164" fontId="1" fillId="0" borderId="5" xfId="0" applyFont="1" applyBorder="1"/>
    <xf numFmtId="168" fontId="1" fillId="3" borderId="0" xfId="0" applyNumberFormat="1" applyFont="1" applyFill="1" applyBorder="1" applyProtection="1">
      <protection locked="0"/>
    </xf>
    <xf numFmtId="164" fontId="0" fillId="0" borderId="6" xfId="0" applyBorder="1"/>
    <xf numFmtId="164" fontId="0" fillId="0" borderId="7" xfId="0" applyBorder="1"/>
    <xf numFmtId="164" fontId="1" fillId="0" borderId="7" xfId="0" applyFont="1" applyBorder="1" applyAlignment="1" applyProtection="1">
      <alignment horizontal="left"/>
    </xf>
    <xf numFmtId="164" fontId="1" fillId="0" borderId="7" xfId="0" applyFont="1" applyBorder="1"/>
    <xf numFmtId="164" fontId="4" fillId="0" borderId="8" xfId="0" applyFont="1" applyBorder="1" applyAlignment="1">
      <alignment horizontal="right"/>
    </xf>
    <xf numFmtId="164" fontId="5" fillId="0" borderId="8" xfId="0" quotePrefix="1" applyFont="1" applyBorder="1" applyAlignment="1" applyProtection="1">
      <alignment horizontal="right"/>
    </xf>
    <xf numFmtId="164" fontId="1" fillId="3" borderId="8" xfId="0" applyFont="1" applyFill="1" applyBorder="1" applyProtection="1">
      <protection locked="0"/>
    </xf>
    <xf numFmtId="164" fontId="1" fillId="0" borderId="8" xfId="0" applyFont="1" applyBorder="1" applyAlignment="1" applyProtection="1">
      <alignment horizontal="left"/>
    </xf>
    <xf numFmtId="164" fontId="0" fillId="0" borderId="8" xfId="0" applyBorder="1"/>
    <xf numFmtId="164" fontId="1" fillId="0" borderId="9" xfId="0" applyFont="1" applyBorder="1"/>
    <xf numFmtId="164" fontId="5" fillId="0" borderId="9" xfId="0" quotePrefix="1" applyFont="1" applyBorder="1" applyAlignment="1" applyProtection="1">
      <alignment horizontal="right"/>
    </xf>
    <xf numFmtId="165" fontId="1" fillId="3" borderId="9" xfId="0" applyNumberFormat="1" applyFont="1" applyFill="1" applyBorder="1" applyProtection="1">
      <protection locked="0"/>
    </xf>
    <xf numFmtId="164" fontId="0" fillId="0" borderId="9" xfId="0" applyBorder="1"/>
    <xf numFmtId="164" fontId="6" fillId="0" borderId="1" xfId="0" quotePrefix="1" applyFont="1" applyBorder="1" applyAlignment="1" applyProtection="1">
      <alignment horizontal="right"/>
    </xf>
    <xf numFmtId="173" fontId="1" fillId="4" borderId="2" xfId="0" applyNumberFormat="1" applyFont="1" applyFill="1" applyBorder="1" applyProtection="1"/>
    <xf numFmtId="164" fontId="1" fillId="0" borderId="2" xfId="0" quotePrefix="1" applyFont="1" applyBorder="1" applyAlignment="1" applyProtection="1">
      <alignment horizontal="left"/>
    </xf>
    <xf numFmtId="166" fontId="1" fillId="4" borderId="2" xfId="0" applyNumberFormat="1" applyFont="1" applyFill="1" applyBorder="1" applyProtection="1"/>
    <xf numFmtId="164" fontId="6" fillId="0" borderId="4" xfId="0" quotePrefix="1" applyFont="1" applyBorder="1" applyAlignment="1" applyProtection="1">
      <alignment horizontal="right"/>
    </xf>
    <xf numFmtId="172" fontId="1" fillId="4" borderId="0" xfId="0" applyNumberFormat="1" applyFont="1" applyFill="1" applyBorder="1" applyProtection="1"/>
    <xf numFmtId="164" fontId="7" fillId="0" borderId="0" xfId="0" quotePrefix="1" applyFont="1" applyBorder="1" applyAlignment="1" applyProtection="1">
      <alignment horizontal="right"/>
    </xf>
    <xf numFmtId="171" fontId="1" fillId="4" borderId="0" xfId="0" applyNumberFormat="1" applyFont="1" applyFill="1" applyBorder="1" applyProtection="1"/>
    <xf numFmtId="164" fontId="1" fillId="0" borderId="5" xfId="0" quotePrefix="1" applyFont="1" applyBorder="1" applyAlignment="1" applyProtection="1">
      <alignment horizontal="left"/>
    </xf>
    <xf numFmtId="164" fontId="7" fillId="0" borderId="4" xfId="0" quotePrefix="1" applyFont="1" applyBorder="1" applyAlignment="1" applyProtection="1">
      <alignment horizontal="right"/>
    </xf>
    <xf numFmtId="2" fontId="1" fillId="4" borderId="0" xfId="0" applyNumberFormat="1" applyFont="1" applyFill="1" applyBorder="1" applyProtection="1"/>
    <xf numFmtId="170" fontId="1" fillId="4" borderId="0" xfId="0" applyNumberFormat="1" applyFont="1" applyFill="1" applyBorder="1" applyProtection="1"/>
    <xf numFmtId="164" fontId="5" fillId="0" borderId="4" xfId="0" quotePrefix="1" applyFont="1" applyBorder="1" applyAlignment="1" applyProtection="1">
      <alignment horizontal="right"/>
    </xf>
    <xf numFmtId="164" fontId="5" fillId="0" borderId="0" xfId="0" applyFont="1" applyBorder="1" applyAlignment="1" applyProtection="1">
      <alignment horizontal="right"/>
    </xf>
    <xf numFmtId="166" fontId="1" fillId="4" borderId="0" xfId="0" applyNumberFormat="1" applyFont="1" applyFill="1" applyBorder="1" applyProtection="1"/>
    <xf numFmtId="11" fontId="1" fillId="4" borderId="0" xfId="0" applyNumberFormat="1" applyFont="1" applyFill="1" applyBorder="1" applyProtection="1"/>
    <xf numFmtId="11" fontId="1" fillId="4" borderId="0" xfId="0" applyNumberFormat="1" applyFont="1" applyFill="1" applyBorder="1"/>
    <xf numFmtId="164" fontId="1" fillId="0" borderId="6" xfId="0" applyFont="1" applyBorder="1"/>
    <xf numFmtId="164" fontId="1" fillId="0" borderId="7" xfId="0" quotePrefix="1" applyFont="1" applyBorder="1" applyAlignment="1">
      <alignment horizontal="right"/>
    </xf>
    <xf numFmtId="169" fontId="1" fillId="4" borderId="7" xfId="0" applyNumberFormat="1" applyFont="1" applyFill="1" applyBorder="1" applyProtection="1"/>
    <xf numFmtId="173" fontId="1" fillId="4" borderId="7" xfId="0" applyNumberFormat="1" applyFont="1" applyFill="1" applyBorder="1" applyProtection="1"/>
    <xf numFmtId="164" fontId="1" fillId="0" borderId="10" xfId="0" quotePrefix="1" applyFont="1" applyBorder="1" applyAlignment="1" applyProtection="1">
      <alignment horizontal="left"/>
    </xf>
    <xf numFmtId="164" fontId="0" fillId="0" borderId="11" xfId="0" applyBorder="1"/>
    <xf numFmtId="164" fontId="0" fillId="0" borderId="12" xfId="0" applyBorder="1"/>
    <xf numFmtId="164" fontId="6" fillId="0" borderId="0" xfId="0" quotePrefix="1" applyFont="1" applyBorder="1" applyAlignment="1" applyProtection="1">
      <alignment horizontal="right"/>
    </xf>
    <xf numFmtId="2" fontId="1" fillId="4" borderId="0" xfId="0" applyNumberFormat="1" applyFont="1" applyFill="1" applyBorder="1" applyProtection="1">
      <protection locked="0"/>
    </xf>
    <xf numFmtId="2" fontId="2" fillId="4" borderId="0" xfId="0" applyNumberFormat="1" applyFont="1" applyFill="1" applyBorder="1" applyProtection="1">
      <protection locked="0"/>
    </xf>
    <xf numFmtId="164" fontId="1" fillId="0" borderId="0" xfId="0" applyFont="1" applyBorder="1" applyAlignment="1">
      <alignment horizontal="right"/>
    </xf>
    <xf numFmtId="164" fontId="1" fillId="0" borderId="9" xfId="0" applyFont="1" applyBorder="1" applyAlignment="1" applyProtection="1">
      <alignment horizontal="left"/>
    </xf>
    <xf numFmtId="164" fontId="0" fillId="0" borderId="13" xfId="0" applyBorder="1"/>
    <xf numFmtId="164" fontId="6" fillId="0" borderId="0" xfId="0" applyFont="1" applyBorder="1" applyAlignment="1">
      <alignment horizontal="right"/>
    </xf>
    <xf numFmtId="2" fontId="1" fillId="4" borderId="0" xfId="0" applyNumberFormat="1" applyFont="1" applyFill="1" applyBorder="1"/>
    <xf numFmtId="170" fontId="1" fillId="4" borderId="9" xfId="0" applyNumberFormat="1" applyFont="1" applyFill="1" applyBorder="1" applyProtection="1"/>
    <xf numFmtId="164" fontId="1" fillId="0" borderId="9" xfId="0" quotePrefix="1" applyFont="1" applyBorder="1" applyAlignment="1">
      <alignment horizontal="fill"/>
    </xf>
    <xf numFmtId="167" fontId="1" fillId="0" borderId="8" xfId="0" applyNumberFormat="1" applyFont="1" applyBorder="1" applyProtection="1"/>
    <xf numFmtId="164" fontId="6" fillId="0" borderId="11" xfId="0" quotePrefix="1" applyFont="1" applyBorder="1" applyAlignment="1" applyProtection="1">
      <alignment horizontal="right"/>
    </xf>
    <xf numFmtId="164" fontId="1" fillId="0" borderId="12" xfId="0" applyFont="1" applyBorder="1"/>
    <xf numFmtId="164" fontId="1" fillId="0" borderId="14" xfId="0" applyFont="1" applyBorder="1"/>
    <xf numFmtId="164" fontId="1" fillId="0" borderId="14" xfId="0" applyFont="1" applyBorder="1" applyAlignment="1" applyProtection="1">
      <alignment horizontal="left"/>
    </xf>
    <xf numFmtId="164" fontId="1" fillId="0" borderId="7" xfId="0" quotePrefix="1" applyFont="1" applyBorder="1" applyAlignment="1" applyProtection="1">
      <alignment horizontal="right"/>
    </xf>
    <xf numFmtId="164" fontId="0" fillId="0" borderId="10" xfId="0" applyBorder="1"/>
    <xf numFmtId="164" fontId="1" fillId="0" borderId="2" xfId="0" applyFont="1" applyBorder="1"/>
    <xf numFmtId="164" fontId="1" fillId="0" borderId="2" xfId="0" quotePrefix="1" applyFont="1" applyBorder="1" applyAlignment="1" applyProtection="1">
      <alignment horizontal="right"/>
    </xf>
    <xf numFmtId="169" fontId="1" fillId="4" borderId="2" xfId="0" applyNumberFormat="1" applyFont="1" applyFill="1" applyBorder="1" applyProtection="1"/>
    <xf numFmtId="164" fontId="1" fillId="0" borderId="3" xfId="0" quotePrefix="1" applyFont="1" applyBorder="1" applyAlignment="1" applyProtection="1">
      <alignment horizontal="left"/>
    </xf>
    <xf numFmtId="164" fontId="5" fillId="0" borderId="4" xfId="0" applyFont="1" applyBorder="1" applyAlignment="1" applyProtection="1">
      <alignment horizontal="right"/>
    </xf>
    <xf numFmtId="164" fontId="1" fillId="0" borderId="3" xfId="0" applyFont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/>
  <dimension ref="A1:I56"/>
  <sheetViews>
    <sheetView tabSelected="1" workbookViewId="0">
      <selection activeCell="F33" sqref="F33"/>
    </sheetView>
  </sheetViews>
  <sheetFormatPr defaultColWidth="9.77734375" defaultRowHeight="15.75"/>
  <cols>
    <col min="1" max="1" width="11.77734375" customWidth="1"/>
  </cols>
  <sheetData>
    <row r="1" spans="1:9">
      <c r="A1" s="12"/>
      <c r="B1" s="3"/>
      <c r="C1" s="13" t="s">
        <v>0</v>
      </c>
      <c r="D1" s="3"/>
      <c r="E1" s="3"/>
      <c r="F1" s="14"/>
      <c r="G1" s="15" t="s">
        <v>15</v>
      </c>
      <c r="H1" s="3"/>
    </row>
    <row r="2" spans="1:9">
      <c r="A2" s="3"/>
      <c r="B2" s="3"/>
      <c r="C2" s="11"/>
      <c r="D2" s="3"/>
      <c r="E2" s="3"/>
      <c r="F2" s="14"/>
      <c r="G2" s="16" t="s">
        <v>52</v>
      </c>
      <c r="H2" s="3"/>
    </row>
    <row r="3" spans="1:9">
      <c r="A3" s="3"/>
      <c r="B3" s="3"/>
      <c r="C3" s="3"/>
      <c r="D3" s="3"/>
      <c r="E3" s="3"/>
      <c r="F3" s="14"/>
      <c r="G3" s="17" t="s">
        <v>53</v>
      </c>
      <c r="H3" s="3"/>
    </row>
    <row r="4" spans="1:9">
      <c r="A4" s="3"/>
      <c r="B4" s="18" t="s">
        <v>16</v>
      </c>
      <c r="C4" s="9"/>
      <c r="D4" s="19" t="s">
        <v>17</v>
      </c>
      <c r="E4" s="20"/>
      <c r="F4" s="3"/>
      <c r="G4" s="3"/>
      <c r="H4" s="3"/>
    </row>
    <row r="5" spans="1:9" ht="16.5" thickBot="1">
      <c r="A5" s="4"/>
      <c r="B5" s="4"/>
      <c r="C5" s="4"/>
      <c r="D5" s="4"/>
      <c r="E5" s="4"/>
      <c r="F5" s="4"/>
      <c r="G5" s="4"/>
      <c r="H5" s="3"/>
    </row>
    <row r="6" spans="1:9">
      <c r="A6" s="21"/>
      <c r="B6" s="22" t="s">
        <v>29</v>
      </c>
      <c r="C6" s="23" t="s">
        <v>18</v>
      </c>
      <c r="D6" s="24">
        <v>16.5</v>
      </c>
      <c r="E6" s="25" t="s">
        <v>1</v>
      </c>
      <c r="F6" s="26"/>
      <c r="G6" s="99" t="s">
        <v>63</v>
      </c>
      <c r="H6" s="3"/>
    </row>
    <row r="7" spans="1:9">
      <c r="A7" s="28"/>
      <c r="B7" s="29"/>
      <c r="C7" s="30" t="s">
        <v>20</v>
      </c>
      <c r="D7" s="36">
        <v>0.5</v>
      </c>
      <c r="E7" s="31"/>
      <c r="F7" s="31"/>
      <c r="G7" s="38" t="s">
        <v>72</v>
      </c>
      <c r="I7" s="3"/>
    </row>
    <row r="8" spans="1:9">
      <c r="A8" s="28"/>
      <c r="B8" s="29"/>
      <c r="C8" s="33" t="s">
        <v>21</v>
      </c>
      <c r="D8" s="34">
        <v>2.2999999999999998</v>
      </c>
      <c r="E8" s="35" t="s">
        <v>69</v>
      </c>
      <c r="F8" s="31"/>
      <c r="G8" s="38" t="s">
        <v>64</v>
      </c>
      <c r="I8" s="3"/>
    </row>
    <row r="9" spans="1:9">
      <c r="A9" s="28"/>
      <c r="B9" s="29"/>
      <c r="C9" s="33" t="s">
        <v>23</v>
      </c>
      <c r="D9" s="36">
        <v>0.18</v>
      </c>
      <c r="E9" s="29" t="s">
        <v>70</v>
      </c>
      <c r="F9" s="31"/>
      <c r="G9" s="38" t="s">
        <v>62</v>
      </c>
      <c r="I9" s="3"/>
    </row>
    <row r="10" spans="1:9">
      <c r="A10" s="75"/>
      <c r="B10" s="49"/>
      <c r="C10" s="50" t="s">
        <v>19</v>
      </c>
      <c r="D10" s="51">
        <v>2.8</v>
      </c>
      <c r="E10" s="49" t="s">
        <v>70</v>
      </c>
      <c r="F10" s="52"/>
      <c r="G10" s="89" t="s">
        <v>57</v>
      </c>
      <c r="I10" s="3"/>
    </row>
    <row r="11" spans="1:9">
      <c r="A11" s="82"/>
      <c r="B11" s="44" t="s">
        <v>30</v>
      </c>
      <c r="C11" s="45" t="s">
        <v>22</v>
      </c>
      <c r="D11" s="46">
        <v>101.3</v>
      </c>
      <c r="E11" s="47" t="s">
        <v>4</v>
      </c>
      <c r="F11" s="48"/>
      <c r="G11" s="90" t="s">
        <v>58</v>
      </c>
      <c r="I11" s="3"/>
    </row>
    <row r="12" spans="1:9">
      <c r="A12" s="28"/>
      <c r="B12" s="31"/>
      <c r="C12" s="80" t="s">
        <v>59</v>
      </c>
      <c r="D12" s="36">
        <v>25.1</v>
      </c>
      <c r="E12" s="35" t="s">
        <v>28</v>
      </c>
      <c r="F12" s="31"/>
      <c r="G12" s="38" t="s">
        <v>60</v>
      </c>
      <c r="I12" s="4"/>
    </row>
    <row r="13" spans="1:9">
      <c r="A13" s="28"/>
      <c r="B13" s="31"/>
      <c r="C13" s="80" t="s">
        <v>49</v>
      </c>
      <c r="D13" s="36">
        <v>1</v>
      </c>
      <c r="E13" s="29" t="s">
        <v>50</v>
      </c>
      <c r="F13" s="29"/>
      <c r="G13" s="38" t="s">
        <v>61</v>
      </c>
      <c r="I13" s="6"/>
    </row>
    <row r="14" spans="1:9">
      <c r="A14" s="28"/>
      <c r="B14" s="31"/>
      <c r="C14" s="33" t="s">
        <v>24</v>
      </c>
      <c r="D14" s="36">
        <v>19.2</v>
      </c>
      <c r="E14" s="37" t="s">
        <v>3</v>
      </c>
      <c r="F14" s="31"/>
      <c r="G14" s="38" t="s">
        <v>65</v>
      </c>
      <c r="H14" s="3"/>
    </row>
    <row r="15" spans="1:9">
      <c r="A15" s="28"/>
      <c r="B15" s="31"/>
      <c r="C15" s="33" t="s">
        <v>25</v>
      </c>
      <c r="D15" s="36">
        <v>0.54</v>
      </c>
      <c r="E15" s="29"/>
      <c r="F15" s="29"/>
      <c r="G15" s="38" t="s">
        <v>66</v>
      </c>
      <c r="H15" s="3"/>
    </row>
    <row r="16" spans="1:9">
      <c r="A16" s="28"/>
      <c r="B16" s="31"/>
      <c r="C16" s="33" t="s">
        <v>26</v>
      </c>
      <c r="D16" s="39">
        <v>1</v>
      </c>
      <c r="E16" s="35" t="s">
        <v>5</v>
      </c>
      <c r="F16" s="31"/>
      <c r="G16" s="38" t="s">
        <v>67</v>
      </c>
      <c r="H16" s="3"/>
    </row>
    <row r="17" spans="1:8" ht="16.5" thickBot="1">
      <c r="A17" s="28"/>
      <c r="B17" s="31"/>
      <c r="C17" s="77" t="s">
        <v>27</v>
      </c>
      <c r="D17" s="36">
        <v>0</v>
      </c>
      <c r="E17" s="37" t="s">
        <v>6</v>
      </c>
      <c r="F17" s="31"/>
      <c r="G17" s="38" t="s">
        <v>68</v>
      </c>
      <c r="H17" s="3"/>
    </row>
    <row r="18" spans="1:8">
      <c r="A18" s="53" t="s">
        <v>31</v>
      </c>
      <c r="B18" s="54">
        <f>1000-0.019549*ABS(D14-3.98)^1.68</f>
        <v>998.10512239637148</v>
      </c>
      <c r="C18" s="55" t="s">
        <v>7</v>
      </c>
      <c r="D18" s="23" t="s">
        <v>37</v>
      </c>
      <c r="E18" s="56">
        <f>B22*D15</f>
        <v>1.2045743897198489</v>
      </c>
      <c r="F18" s="25" t="s">
        <v>4</v>
      </c>
      <c r="G18" s="27"/>
      <c r="H18" s="3"/>
    </row>
    <row r="19" spans="1:8">
      <c r="A19" s="57" t="s">
        <v>32</v>
      </c>
      <c r="B19" s="58">
        <f>D11/((D14+273.2)*0.288)</f>
        <v>1.2029278765769875</v>
      </c>
      <c r="C19" s="35" t="s">
        <v>7</v>
      </c>
      <c r="D19" s="66" t="s">
        <v>55</v>
      </c>
      <c r="E19" s="78">
        <f>MIN(D12,(0.355+0.68*(1-D13))*D12)</f>
        <v>8.9105000000000008</v>
      </c>
      <c r="F19" s="35" t="s">
        <v>71</v>
      </c>
      <c r="G19" s="32"/>
      <c r="H19" s="3"/>
    </row>
    <row r="20" spans="1:8">
      <c r="A20" s="62" t="s">
        <v>33</v>
      </c>
      <c r="B20" s="63">
        <f>2.5-0.00236*D14</f>
        <v>2.454688</v>
      </c>
      <c r="C20" s="35" t="s">
        <v>8</v>
      </c>
      <c r="D20" s="83" t="s">
        <v>51</v>
      </c>
      <c r="E20" s="84">
        <f>1.72*(E18/(D14+273.2))^(1/7)*(1+0.22*D13^2)</f>
        <v>0.95753235387097613</v>
      </c>
      <c r="F20" s="29"/>
      <c r="G20" s="32"/>
      <c r="H20" s="3"/>
    </row>
    <row r="21" spans="1:8">
      <c r="A21" s="98" t="s">
        <v>54</v>
      </c>
      <c r="B21" s="79">
        <f>E19*(1-D9)+E21</f>
        <v>5.7854890667490171</v>
      </c>
      <c r="C21" s="35" t="s">
        <v>2</v>
      </c>
      <c r="D21" s="66" t="s">
        <v>56</v>
      </c>
      <c r="E21" s="78">
        <f>(E20-1)*0.0000000049*(D14+273.2)^4</f>
        <v>-1.5211209332509843</v>
      </c>
      <c r="F21" s="35" t="s">
        <v>2</v>
      </c>
      <c r="G21" s="32"/>
    </row>
    <row r="22" spans="1:8">
      <c r="A22" s="65" t="s">
        <v>34</v>
      </c>
      <c r="B22" s="67">
        <f>0.611*EXP(17.3*D14/(D14+237.3))</f>
        <v>2.2306933142960164</v>
      </c>
      <c r="C22" s="37" t="s">
        <v>4</v>
      </c>
      <c r="D22" s="59" t="s">
        <v>38</v>
      </c>
      <c r="E22" s="67">
        <f>B22*(1-D15)</f>
        <v>1.0261189245761675</v>
      </c>
      <c r="F22" s="37" t="s">
        <v>4</v>
      </c>
      <c r="G22" s="32"/>
      <c r="H22" s="31"/>
    </row>
    <row r="23" spans="1:8">
      <c r="A23" s="62" t="s">
        <v>35</v>
      </c>
      <c r="B23" s="58">
        <f>2508.3/(D14+237.3)^2*B22/0.611</f>
        <v>0.1391885128434163</v>
      </c>
      <c r="C23" s="37" t="s">
        <v>9</v>
      </c>
      <c r="D23" s="59" t="s">
        <v>39</v>
      </c>
      <c r="E23" s="60">
        <f>2.17*E22/(D14+273.2)</f>
        <v>7.6151780654250458E-3</v>
      </c>
      <c r="F23" s="35" t="s">
        <v>7</v>
      </c>
      <c r="G23" s="32"/>
      <c r="H23" s="3"/>
    </row>
    <row r="24" spans="1:8">
      <c r="A24" s="88" t="s">
        <v>36</v>
      </c>
      <c r="B24" s="85">
        <f>0.001005*D11/(0.622*B20)</f>
        <v>6.6678960835787338E-2</v>
      </c>
      <c r="C24" s="81" t="s">
        <v>9</v>
      </c>
      <c r="D24" s="86"/>
      <c r="E24" s="52"/>
      <c r="F24" s="52"/>
      <c r="G24" s="89"/>
      <c r="H24" s="3"/>
    </row>
    <row r="25" spans="1:8">
      <c r="A25" s="82"/>
      <c r="B25" s="48"/>
      <c r="C25" s="48"/>
      <c r="D25" s="87"/>
      <c r="E25" s="48"/>
      <c r="F25" s="48"/>
      <c r="G25" s="90"/>
      <c r="H25" s="3"/>
    </row>
    <row r="26" spans="1:8">
      <c r="A26" s="65" t="s">
        <v>40</v>
      </c>
      <c r="B26" s="64">
        <f>12.78*E19/(11.57*E19+104.4)</f>
        <v>0.54881550225298759</v>
      </c>
      <c r="C26" s="31"/>
      <c r="D26" s="66" t="s">
        <v>41</v>
      </c>
      <c r="E26" s="64">
        <f>IF(E23&lt;0.01152,1-66.6*E23,0.233)</f>
        <v>0.49282914084269203</v>
      </c>
      <c r="F26" s="31"/>
      <c r="G26" s="38"/>
      <c r="H26" s="3"/>
    </row>
    <row r="27" spans="1:8">
      <c r="A27" s="65" t="s">
        <v>42</v>
      </c>
      <c r="B27" s="64">
        <f>(D14*(40-D14)^1.18)/691</f>
        <v>0.99801694843072863</v>
      </c>
      <c r="C27" s="31"/>
      <c r="D27" s="33" t="s">
        <v>43</v>
      </c>
      <c r="E27" s="64">
        <f>IF(D17&lt;8.4,1-0.00119*EXP(0.81*D17),0)</f>
        <v>0.99880999999999998</v>
      </c>
      <c r="F27" s="31"/>
      <c r="G27" s="61"/>
      <c r="H27" s="3"/>
    </row>
    <row r="28" spans="1:8">
      <c r="A28" s="28"/>
      <c r="B28" s="31"/>
      <c r="C28" s="31"/>
      <c r="D28" s="31"/>
      <c r="E28" s="31"/>
      <c r="F28" s="31"/>
      <c r="G28" s="32"/>
      <c r="H28" s="3"/>
    </row>
    <row r="29" spans="1:8">
      <c r="A29" s="75"/>
      <c r="B29" s="49"/>
      <c r="C29" s="50" t="s">
        <v>44</v>
      </c>
      <c r="D29" s="85">
        <f>B26*E26*B27*E27</f>
        <v>0.26961468825688045</v>
      </c>
      <c r="E29" s="52"/>
      <c r="F29" s="52"/>
      <c r="G29" s="76"/>
      <c r="H29" s="3"/>
    </row>
    <row r="30" spans="1:8">
      <c r="A30" s="82"/>
      <c r="B30" s="48"/>
      <c r="C30" s="48"/>
      <c r="D30" s="48"/>
      <c r="E30" s="48"/>
      <c r="F30" s="48"/>
      <c r="G30" s="91"/>
      <c r="H30" s="3"/>
    </row>
    <row r="31" spans="1:8">
      <c r="A31" s="65" t="s">
        <v>45</v>
      </c>
      <c r="B31" s="68">
        <f>1000*$D$16/(6.25*(LN(($D$6+2-0.7*$D$6)/(0.1*$D$6)))^2)</f>
        <v>77.378894935774227</v>
      </c>
      <c r="C31" s="35" t="s">
        <v>46</v>
      </c>
      <c r="D31" s="69">
        <f>D8*D29</f>
        <v>0.62011378299082498</v>
      </c>
      <c r="E31" s="35" t="s">
        <v>47</v>
      </c>
      <c r="F31" s="68">
        <f>D7*D10*D31</f>
        <v>0.86815929618715493</v>
      </c>
      <c r="G31" s="61" t="s">
        <v>10</v>
      </c>
      <c r="H31" s="3"/>
    </row>
    <row r="32" spans="1:8" ht="16.5" thickBot="1">
      <c r="A32" s="40"/>
      <c r="B32" s="41"/>
      <c r="C32" s="41"/>
      <c r="D32" s="43"/>
      <c r="E32" s="92"/>
      <c r="F32" s="41"/>
      <c r="G32" s="93"/>
      <c r="H32" s="3"/>
    </row>
    <row r="33" spans="1:8">
      <c r="A33" s="21"/>
      <c r="B33" s="94"/>
      <c r="C33" s="95" t="s">
        <v>11</v>
      </c>
      <c r="D33" s="96">
        <f xml:space="preserve"> IF(D29&gt;0,(1000*$B$23*$B$21/86400+$B$19*0.001005*($B$31)*$B$22*(1-$D$15))/($B$18*$B$20*($B$23+$B$24*(1+$B$31/$F$31))),0)</f>
        <v>6.9903194174172597E-6</v>
      </c>
      <c r="E33" s="55" t="s">
        <v>12</v>
      </c>
      <c r="F33" s="54">
        <f>D33*86400</f>
        <v>0.60396359766485119</v>
      </c>
      <c r="G33" s="97" t="s">
        <v>13</v>
      </c>
      <c r="H33" s="3"/>
    </row>
    <row r="34" spans="1:8" ht="16.5" thickBot="1">
      <c r="A34" s="70"/>
      <c r="B34" s="43"/>
      <c r="C34" s="71" t="s">
        <v>14</v>
      </c>
      <c r="D34" s="72">
        <f>(1000*$B$23*$B$21/86400+$B$19*0.001005*($B$31)*$B$22*(1-$D$15))/($B$18*$B$20*($B$23+$B$24))</f>
        <v>2.0879034268492919E-4</v>
      </c>
      <c r="E34" s="42" t="s">
        <v>48</v>
      </c>
      <c r="F34" s="73">
        <f>D34*86400</f>
        <v>18.03948560797788</v>
      </c>
      <c r="G34" s="74" t="s">
        <v>13</v>
      </c>
      <c r="H34" s="3"/>
    </row>
    <row r="35" spans="1:8">
      <c r="G35" s="3"/>
      <c r="H35" s="3"/>
    </row>
    <row r="36" spans="1:8">
      <c r="H36" s="3"/>
    </row>
    <row r="37" spans="1:8">
      <c r="G37" s="3"/>
      <c r="H37" s="3"/>
    </row>
    <row r="38" spans="1:8">
      <c r="G38" s="3"/>
      <c r="H38" s="3"/>
    </row>
    <row r="39" spans="1:8">
      <c r="B39" s="10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  <row r="41" spans="1:8">
      <c r="A41" s="3"/>
      <c r="B41" s="3"/>
      <c r="C41" s="3"/>
      <c r="D41" s="3"/>
      <c r="E41" s="3"/>
      <c r="F41" s="5"/>
      <c r="G41" s="3"/>
      <c r="H41" s="3"/>
    </row>
    <row r="42" spans="1:8">
      <c r="A42" s="3"/>
      <c r="B42" s="3"/>
      <c r="C42" s="3"/>
      <c r="D42" s="3"/>
      <c r="E42" s="3"/>
      <c r="F42" s="3"/>
      <c r="G42" s="3"/>
    </row>
    <row r="43" spans="1:8">
      <c r="A43" s="3"/>
      <c r="B43" s="3"/>
      <c r="C43" s="7"/>
      <c r="D43" s="3"/>
      <c r="E43" s="3"/>
      <c r="F43" s="3"/>
      <c r="G43" s="3"/>
    </row>
    <row r="44" spans="1:8">
      <c r="A44" s="3"/>
      <c r="B44" s="3"/>
      <c r="C44" s="3"/>
      <c r="D44" s="3"/>
      <c r="E44" s="3"/>
      <c r="F44" s="3"/>
      <c r="G44" s="3"/>
    </row>
    <row r="45" spans="1:8">
      <c r="A45" s="3"/>
      <c r="B45" s="3"/>
      <c r="C45" s="3"/>
      <c r="D45" s="3"/>
      <c r="E45" s="3"/>
      <c r="F45" s="3"/>
      <c r="G45" s="3"/>
    </row>
    <row r="46" spans="1:8">
      <c r="A46" s="3"/>
      <c r="B46" s="3"/>
      <c r="C46" s="3"/>
      <c r="D46" s="3"/>
      <c r="E46" s="3"/>
      <c r="F46" s="3"/>
      <c r="G46" s="3"/>
    </row>
    <row r="47" spans="1:8">
      <c r="A47" s="3"/>
      <c r="B47" s="3"/>
      <c r="C47" s="3"/>
      <c r="D47" s="3"/>
      <c r="E47" s="3"/>
      <c r="F47" s="3"/>
      <c r="G47" s="3"/>
    </row>
    <row r="48" spans="1:8">
      <c r="A48" s="3"/>
      <c r="B48" s="3"/>
      <c r="C48" s="3"/>
      <c r="D48" s="3"/>
      <c r="E48" s="3"/>
      <c r="F48" s="3"/>
      <c r="G48" s="3"/>
    </row>
    <row r="49" spans="1:7">
      <c r="A49" s="3"/>
      <c r="B49" s="3"/>
      <c r="C49" s="3"/>
      <c r="D49" s="3"/>
      <c r="E49" s="3"/>
      <c r="F49" s="3"/>
      <c r="G49" s="3"/>
    </row>
    <row r="50" spans="1:7">
      <c r="A50" s="3"/>
      <c r="B50" s="3"/>
      <c r="C50" s="3"/>
      <c r="D50" s="3"/>
      <c r="E50" s="3"/>
      <c r="F50" s="3"/>
      <c r="G50" s="3"/>
    </row>
    <row r="51" spans="1:7">
      <c r="A51" s="3"/>
      <c r="B51" s="3"/>
      <c r="C51" s="3"/>
      <c r="D51" s="3"/>
      <c r="E51" s="3"/>
      <c r="F51" s="7"/>
      <c r="G51" s="3"/>
    </row>
    <row r="52" spans="1:7">
      <c r="D52" s="3"/>
      <c r="E52" s="3"/>
      <c r="F52" s="3"/>
      <c r="G52" s="3"/>
    </row>
    <row r="53" spans="1:7">
      <c r="A53" s="3"/>
      <c r="B53" s="3"/>
      <c r="C53" s="3"/>
      <c r="D53" s="3"/>
      <c r="E53" s="3"/>
      <c r="F53" s="8"/>
      <c r="G53" s="3"/>
    </row>
    <row r="55" spans="1:7">
      <c r="F55" s="1"/>
    </row>
    <row r="56" spans="1:7">
      <c r="F56" s="2"/>
    </row>
  </sheetData>
  <printOptions gridLines="1" gridLinesSet="0"/>
  <pageMargins left="0.5" right="0.5" top="0.5" bottom="0.55000000000000004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PENMONTX</vt:lpstr>
      <vt:lpstr>PENMONTX!Area_stampa</vt:lpstr>
      <vt:lpstr>PENMONTX!Print_Area_MI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Lawrence Dingman</dc:creator>
  <cp:lastModifiedBy>Borga</cp:lastModifiedBy>
  <dcterms:created xsi:type="dcterms:W3CDTF">2012-11-13T11:43:09Z</dcterms:created>
  <dcterms:modified xsi:type="dcterms:W3CDTF">2013-11-07T13:06:54Z</dcterms:modified>
</cp:coreProperties>
</file>