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Dimensionamento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<sst xmlns="http://schemas.openxmlformats.org/spreadsheetml/2006/main" count="148" uniqueCount="135">
  <si>
    <t>DATI</t>
  </si>
  <si>
    <r>
      <rPr>
        <sz val="10"/>
        <rFont val="Arial"/>
        <family val="2"/>
      </rPr>
      <t>Forma gaveta</t>
    </r>
  </si>
  <si>
    <t>rettangolare</t>
  </si>
  <si>
    <t>Altezza briglia</t>
  </si>
  <si>
    <t>z=</t>
  </si>
  <si>
    <t>m</t>
  </si>
  <si>
    <r>
      <rPr>
        <sz val="10"/>
        <rFont val="Arial"/>
        <family val="2"/>
      </rPr>
      <t>Larghezza gaveta</t>
    </r>
  </si>
  <si>
    <t>L=</t>
  </si>
  <si>
    <t>m</t>
  </si>
  <si>
    <t>Portata massima</t>
  </si>
  <si>
    <t>Q=</t>
  </si>
  <si>
    <r>
      <rPr>
        <sz val="10"/>
        <rFont val="Arial"/>
        <family val="2"/>
      </rPr>
      <t>m3/s</t>
    </r>
  </si>
  <si>
    <r>
      <rPr>
        <sz val="10"/>
        <rFont val="Arial"/>
        <family val="2"/>
      </rPr>
      <t>Coeff.attrito opera-fondazione</t>
    </r>
  </si>
  <si>
    <r>
      <rPr>
        <sz val="10"/>
        <rFont val="Arial"/>
        <family val="2"/>
      </rPr>
      <t>fo-f=</t>
    </r>
  </si>
  <si>
    <r>
      <rPr>
        <sz val="10"/>
        <rFont val="Arial"/>
        <family val="2"/>
      </rPr>
      <t>Coeff.attrito fondazione-terreno</t>
    </r>
  </si>
  <si>
    <r>
      <rPr>
        <sz val="10"/>
        <rFont val="Arial"/>
        <family val="2"/>
      </rPr>
      <t>ff-t=</t>
    </r>
  </si>
  <si>
    <r>
      <rPr>
        <sz val="10"/>
        <rFont val="Arial"/>
        <family val="2"/>
      </rPr>
      <t>Peso spec. calcestruzzo</t>
    </r>
  </si>
  <si>
    <r>
      <rPr>
        <sz val="10"/>
        <rFont val="Symbol"/>
        <family val="2"/>
      </rPr>
      <t>g</t>
    </r>
    <r>
      <rPr>
        <sz val="10"/>
        <rFont val="Arial"/>
        <family val="2"/>
      </rPr>
      <t>c=</t>
    </r>
  </si>
  <si>
    <r>
      <rPr>
        <sz val="10"/>
        <rFont val="Arial"/>
        <family val="2"/>
      </rPr>
      <t>N/m2</t>
    </r>
  </si>
  <si>
    <r>
      <rPr>
        <sz val="10"/>
        <rFont val="Arial"/>
        <family val="2"/>
      </rPr>
      <t>Peso spec. acqua</t>
    </r>
  </si>
  <si>
    <r>
      <rPr>
        <sz val="10"/>
        <rFont val="Symbol"/>
        <family val="2"/>
      </rPr>
      <t>ga</t>
    </r>
    <r>
      <rPr>
        <sz val="10"/>
        <rFont val="Arial"/>
        <family val="2"/>
      </rPr>
      <t>=</t>
    </r>
  </si>
  <si>
    <r>
      <rPr>
        <sz val="10"/>
        <rFont val="Arial"/>
        <family val="2"/>
      </rPr>
      <t>N/m2</t>
    </r>
  </si>
  <si>
    <t>DIMENSIONAMENTO</t>
  </si>
  <si>
    <r>
      <rPr>
        <sz val="10"/>
        <rFont val="Arial"/>
        <family val="2"/>
      </rPr>
      <t>Altezza gaveta</t>
    </r>
  </si>
  <si>
    <t>h=</t>
  </si>
  <si>
    <t>m</t>
  </si>
  <si>
    <t>s=</t>
  </si>
  <si>
    <t>m</t>
  </si>
  <si>
    <t>b=</t>
  </si>
  <si>
    <t>m</t>
  </si>
  <si>
    <t>Altezza fondazione</t>
  </si>
  <si>
    <r>
      <rPr>
        <sz val="10"/>
        <rFont val="Arial"/>
        <family val="2"/>
      </rPr>
      <t>zf,min=</t>
    </r>
  </si>
  <si>
    <t>m</t>
  </si>
  <si>
    <t>Sporto massimo fondazione</t>
  </si>
  <si>
    <r>
      <rPr>
        <sz val="10"/>
        <rFont val="Arial"/>
        <family val="2"/>
      </rPr>
      <t>sf,max=</t>
    </r>
  </si>
  <si>
    <t>m</t>
  </si>
  <si>
    <t>VERIFICHE STATICHE</t>
  </si>
  <si>
    <t>Forze orizzontali</t>
  </si>
  <si>
    <r>
      <rPr>
        <sz val="10"/>
        <rFont val="Arial"/>
        <family val="2"/>
      </rPr>
      <t>SO1=</t>
    </r>
  </si>
  <si>
    <t>N</t>
  </si>
  <si>
    <r>
      <rPr>
        <sz val="10"/>
        <rFont val="Arial"/>
        <family val="2"/>
      </rPr>
      <t>SO2=</t>
    </r>
  </si>
  <si>
    <t>N</t>
  </si>
  <si>
    <t>Forze verticali</t>
  </si>
  <si>
    <r>
      <rPr>
        <sz val="10"/>
        <rFont val="Arial"/>
        <family val="2"/>
      </rPr>
      <t>P1=</t>
    </r>
  </si>
  <si>
    <t>N</t>
  </si>
  <si>
    <r>
      <rPr>
        <sz val="10"/>
        <rFont val="Arial"/>
        <family val="2"/>
      </rPr>
      <t>P2=</t>
    </r>
  </si>
  <si>
    <t>N</t>
  </si>
  <si>
    <r>
      <rPr>
        <sz val="10"/>
        <rFont val="Arial"/>
        <family val="2"/>
      </rPr>
      <t>P3=</t>
    </r>
  </si>
  <si>
    <t>N</t>
  </si>
  <si>
    <t>N</t>
  </si>
  <si>
    <t>N</t>
  </si>
  <si>
    <t>N</t>
  </si>
  <si>
    <t>P'=</t>
  </si>
  <si>
    <t>N</t>
  </si>
  <si>
    <t>Calcolo momenti</t>
  </si>
  <si>
    <t>FORZE</t>
  </si>
  <si>
    <t>BRACCI</t>
  </si>
  <si>
    <t>MOMENTI RIB.</t>
  </si>
  <si>
    <t>MOMENTI STAB.</t>
  </si>
  <si>
    <r>
      <rPr>
        <sz val="10"/>
        <rFont val="Arial"/>
        <family val="2"/>
      </rPr>
      <t>Orizz.</t>
    </r>
  </si>
  <si>
    <r>
      <rPr>
        <sz val="10"/>
        <rFont val="Arial"/>
        <family val="2"/>
      </rPr>
      <t>Vert.</t>
    </r>
  </si>
  <si>
    <t>Briglia</t>
  </si>
  <si>
    <r>
      <rPr>
        <sz val="10"/>
        <rFont val="Arial"/>
        <family val="2"/>
      </rPr>
      <t>Briglia+Fond.</t>
    </r>
  </si>
  <si>
    <t>Briglia</t>
  </si>
  <si>
    <r>
      <rPr>
        <sz val="10"/>
        <rFont val="Arial"/>
        <family val="2"/>
      </rPr>
      <t>Briglia+Fond.</t>
    </r>
  </si>
  <si>
    <t>Briglia</t>
  </si>
  <si>
    <r>
      <rPr>
        <sz val="10"/>
        <rFont val="Arial"/>
        <family val="2"/>
      </rPr>
      <t>Briglia+Fond.</t>
    </r>
  </si>
  <si>
    <r>
      <rPr>
        <sz val="10"/>
        <rFont val="Arial"/>
        <family val="2"/>
      </rPr>
      <t>SO1</t>
    </r>
  </si>
  <si>
    <r>
      <rPr>
        <sz val="10"/>
        <rFont val="Arial"/>
        <family val="2"/>
      </rPr>
      <t>SO2</t>
    </r>
  </si>
  <si>
    <r>
      <rPr>
        <sz val="10"/>
        <rFont val="Arial"/>
        <family val="2"/>
      </rPr>
      <t>P1</t>
    </r>
  </si>
  <si>
    <r>
      <rPr>
        <sz val="10"/>
        <rFont val="Arial"/>
        <family val="2"/>
      </rPr>
      <t>P2</t>
    </r>
  </si>
  <si>
    <t>P'</t>
  </si>
  <si>
    <t>Totale</t>
  </si>
  <si>
    <r>
      <rPr>
        <i/>
        <sz val="10"/>
        <rFont val="Arial"/>
        <family val="2"/>
      </rPr>
      <t>Briglia+Fond.</t>
    </r>
  </si>
  <si>
    <r>
      <rPr>
        <sz val="10"/>
        <rFont val="Arial"/>
        <family val="2"/>
      </rPr>
      <t>P3</t>
    </r>
  </si>
  <si>
    <t>Verifica corpo briglia</t>
  </si>
  <si>
    <t>Ribaltamento</t>
  </si>
  <si>
    <r>
      <rPr>
        <sz val="10"/>
        <rFont val="Arial"/>
        <family val="2"/>
      </rPr>
      <t>Coeff.sicurezza</t>
    </r>
  </si>
  <si>
    <t>Scorrimento</t>
  </si>
  <si>
    <r>
      <rPr>
        <sz val="10"/>
        <rFont val="Arial"/>
        <family val="2"/>
      </rPr>
      <t>Coeff.sicurezza</t>
    </r>
  </si>
  <si>
    <t>Schiacciamento</t>
  </si>
  <si>
    <t>u=</t>
  </si>
  <si>
    <t>m</t>
  </si>
  <si>
    <t>e=</t>
  </si>
  <si>
    <t>m</t>
  </si>
  <si>
    <r>
      <rPr>
        <sz val="10"/>
        <rFont val="Symbol"/>
        <family val="1"/>
      </rPr>
      <t>s</t>
    </r>
    <r>
      <rPr>
        <sz val="10"/>
        <rFont val="Arial"/>
        <family val="2"/>
      </rPr>
      <t>v=</t>
    </r>
  </si>
  <si>
    <r>
      <rPr>
        <sz val="10"/>
        <rFont val="Arial"/>
        <family val="2"/>
      </rPr>
      <t>MPa</t>
    </r>
  </si>
  <si>
    <r>
      <rPr>
        <sz val="10"/>
        <rFont val="Symbol"/>
        <family val="1"/>
      </rPr>
      <t>s</t>
    </r>
    <r>
      <rPr>
        <sz val="10"/>
        <rFont val="Arial"/>
        <family val="2"/>
      </rPr>
      <t>m=</t>
    </r>
  </si>
  <si>
    <r>
      <rPr>
        <sz val="10"/>
        <rFont val="Arial"/>
        <family val="2"/>
      </rPr>
      <t>MPa</t>
    </r>
  </si>
  <si>
    <r>
      <rPr>
        <sz val="10"/>
        <rFont val="Arial"/>
        <family val="2"/>
      </rPr>
      <t>Compress.max=</t>
    </r>
  </si>
  <si>
    <r>
      <rPr>
        <sz val="10"/>
        <rFont val="Arial"/>
        <family val="2"/>
      </rPr>
      <t>MPa</t>
    </r>
  </si>
  <si>
    <t>Compressione massima ammissibile per il calcestruzzo</t>
  </si>
  <si>
    <t>Trazione max=</t>
  </si>
  <si>
    <r>
      <rPr>
        <sz val="10"/>
        <rFont val="Arial"/>
        <family val="2"/>
      </rPr>
      <t>MPa</t>
    </r>
  </si>
  <si>
    <t>Trazione massima ammissibile per il calcestruzzo</t>
  </si>
  <si>
    <t>Verifica briglia+fondazione</t>
  </si>
  <si>
    <t>Ribaltamento</t>
  </si>
  <si>
    <r>
      <rPr>
        <sz val="10"/>
        <rFont val="Arial"/>
        <family val="2"/>
      </rPr>
      <t>Coeff.sicurezza</t>
    </r>
  </si>
  <si>
    <t>Scorrimento</t>
  </si>
  <si>
    <r>
      <rPr>
        <sz val="10"/>
        <rFont val="Arial"/>
        <family val="2"/>
      </rPr>
      <t>Coeff.sicurezza</t>
    </r>
  </si>
  <si>
    <t>Schiacciamento</t>
  </si>
  <si>
    <t>u=</t>
  </si>
  <si>
    <t>m</t>
  </si>
  <si>
    <t>e=</t>
  </si>
  <si>
    <t>m</t>
  </si>
  <si>
    <r>
      <rPr>
        <sz val="10"/>
        <rFont val="Symbol"/>
        <family val="1"/>
      </rPr>
      <t>s</t>
    </r>
    <r>
      <rPr>
        <sz val="10"/>
        <rFont val="Arial"/>
        <family val="2"/>
      </rPr>
      <t>v=</t>
    </r>
  </si>
  <si>
    <r>
      <rPr>
        <sz val="10"/>
        <rFont val="Arial"/>
        <family val="2"/>
      </rPr>
      <t>MPa</t>
    </r>
  </si>
  <si>
    <r>
      <rPr>
        <sz val="10"/>
        <rFont val="Arial"/>
        <family val="2"/>
      </rPr>
      <t>Compress.max=</t>
    </r>
  </si>
  <si>
    <r>
      <rPr>
        <sz val="10"/>
        <rFont val="Arial"/>
        <family val="2"/>
      </rPr>
      <t>MPa</t>
    </r>
  </si>
  <si>
    <t>Compressione massima ammissibile per il terreno</t>
  </si>
  <si>
    <t>SCAVO A VALLE</t>
  </si>
  <si>
    <t>Dist.impatto getto (Rand)</t>
  </si>
  <si>
    <t>Dist.impatto getto (D'Agostino)</t>
  </si>
  <si>
    <t>L1=</t>
  </si>
  <si>
    <t>Profondità di scavo</t>
  </si>
  <si>
    <t>S=</t>
  </si>
  <si>
    <t>D90</t>
  </si>
  <si>
    <t>D90=</t>
  </si>
  <si>
    <t>Spessore coronamento</t>
  </si>
  <si>
    <t>Spessore alla base (Romiti)</t>
  </si>
  <si>
    <t>Spessore alla base (Zoli)</t>
  </si>
  <si>
    <t>A1=</t>
  </si>
  <si>
    <t>A2=</t>
  </si>
  <si>
    <t>A3=</t>
  </si>
  <si>
    <t>a=</t>
  </si>
  <si>
    <t>c=</t>
  </si>
  <si>
    <t>Sporto paramento di valle (0.00 --&gt; paramento verticale)</t>
  </si>
  <si>
    <t>Sporto paramento di monte</t>
  </si>
  <si>
    <t>Spessore alla base (inserire il prescelto)</t>
  </si>
  <si>
    <t>SV2=</t>
  </si>
  <si>
    <t>SV1=</t>
  </si>
  <si>
    <t>SV3=</t>
  </si>
  <si>
    <t>SV2</t>
  </si>
  <si>
    <t>SV1</t>
  </si>
  <si>
    <t>SV3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</si>
</sst>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Symbo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2" fontId="1" fillId="4" borderId="0" xfId="0" applyNumberFormat="1" applyFont="1" applyFill="1" applyAlignment="1">
      <alignment/>
    </xf>
    <xf numFmtId="0" fontId="0" fillId="0" borderId="0" xfId="0" applyAlignment="1">
      <alignment vertical="center"/>
    </xf>
    <xf numFmtId="2" fontId="0" fillId="5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73" fontId="0" fillId="2" borderId="0" xfId="0" applyNumberFormat="1" applyFill="1" applyAlignment="1">
      <alignment/>
    </xf>
    <xf numFmtId="2" fontId="0" fillId="0" borderId="4" xfId="0" applyNumberFormat="1" applyBorder="1" applyAlignment="1">
      <alignment horizontal="center"/>
    </xf>
    <xf numFmtId="2" fontId="4" fillId="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35.28125" style="0" customWidth="1"/>
    <col min="2" max="2" width="14.8515625" style="1" customWidth="1"/>
    <col min="3" max="3" width="16.28125" style="2" customWidth="1"/>
    <col min="4" max="4" width="15.28125" style="0" customWidth="1"/>
    <col min="5" max="5" width="11.7109375" style="0" customWidth="1"/>
    <col min="6" max="6" width="11.7109375" style="3" customWidth="1"/>
    <col min="7" max="16384" width="11.7109375" style="0" customWidth="1"/>
  </cols>
  <sheetData>
    <row r="1" spans="1:6" s="4" customFormat="1" ht="12.75">
      <c r="A1" s="4" t="s">
        <v>0</v>
      </c>
      <c r="B1" s="5"/>
      <c r="C1" s="6"/>
      <c r="F1" s="3"/>
    </row>
    <row r="2" spans="1:2" ht="12.75">
      <c r="A2" t="s">
        <v>1</v>
      </c>
      <c r="B2" s="1" t="s">
        <v>2</v>
      </c>
    </row>
    <row r="3" spans="1:4" ht="12.75">
      <c r="A3" t="s">
        <v>3</v>
      </c>
      <c r="B3" s="1" t="s">
        <v>4</v>
      </c>
      <c r="C3" s="7"/>
      <c r="D3" t="s">
        <v>5</v>
      </c>
    </row>
    <row r="4" spans="1:4" ht="12.75">
      <c r="A4" s="10" t="s">
        <v>116</v>
      </c>
      <c r="B4" s="49" t="s">
        <v>117</v>
      </c>
      <c r="C4" s="54"/>
      <c r="D4" s="10" t="s">
        <v>5</v>
      </c>
    </row>
    <row r="5" spans="1:4" ht="12.75">
      <c r="A5" t="s">
        <v>6</v>
      </c>
      <c r="B5" s="1" t="s">
        <v>7</v>
      </c>
      <c r="C5" s="8"/>
      <c r="D5" t="s">
        <v>8</v>
      </c>
    </row>
    <row r="6" spans="1:4" ht="12.75">
      <c r="A6" t="s">
        <v>9</v>
      </c>
      <c r="B6" s="1" t="s">
        <v>10</v>
      </c>
      <c r="C6" s="8"/>
      <c r="D6" t="s">
        <v>11</v>
      </c>
    </row>
    <row r="7" spans="1:3" ht="12.75">
      <c r="A7" t="s">
        <v>12</v>
      </c>
      <c r="B7" s="1" t="s">
        <v>13</v>
      </c>
      <c r="C7" s="7">
        <v>0.7</v>
      </c>
    </row>
    <row r="8" spans="1:3" ht="12.75">
      <c r="A8" t="s">
        <v>14</v>
      </c>
      <c r="B8" s="1" t="s">
        <v>15</v>
      </c>
      <c r="C8" s="7">
        <v>0.4</v>
      </c>
    </row>
    <row r="9" spans="1:4" ht="12.75">
      <c r="A9" t="s">
        <v>16</v>
      </c>
      <c r="B9" s="1" t="s">
        <v>17</v>
      </c>
      <c r="C9" s="8">
        <v>24000</v>
      </c>
      <c r="D9" t="s">
        <v>18</v>
      </c>
    </row>
    <row r="10" spans="1:4" ht="12.75">
      <c r="A10" t="s">
        <v>19</v>
      </c>
      <c r="B10" s="1" t="s">
        <v>20</v>
      </c>
      <c r="C10" s="8">
        <v>10000</v>
      </c>
      <c r="D10" t="s">
        <v>21</v>
      </c>
    </row>
    <row r="12" spans="1:6" s="4" customFormat="1" ht="12.75">
      <c r="A12" s="4" t="s">
        <v>22</v>
      </c>
      <c r="B12" s="5"/>
      <c r="C12" s="6"/>
      <c r="F12" s="3"/>
    </row>
    <row r="13" spans="1:6" ht="12.75">
      <c r="A13" t="s">
        <v>23</v>
      </c>
      <c r="B13" s="1" t="s">
        <v>24</v>
      </c>
      <c r="C13" s="2" t="e">
        <f>0.7*(C6/C5)^(2/3)</f>
        <v>#DIV/0!</v>
      </c>
      <c r="D13" s="9" t="e">
        <f>ROUND(C13,1)</f>
        <v>#DIV/0!</v>
      </c>
      <c r="E13" t="s">
        <v>25</v>
      </c>
      <c r="F13" s="10"/>
    </row>
    <row r="14" spans="1:5" ht="12.75">
      <c r="A14" s="10" t="s">
        <v>118</v>
      </c>
      <c r="B14" s="1" t="s">
        <v>26</v>
      </c>
      <c r="C14" s="2">
        <f>0.7+0.1*C3</f>
        <v>0.7</v>
      </c>
      <c r="D14" s="9">
        <f>ROUND(C14,1)</f>
        <v>0.7</v>
      </c>
      <c r="E14" s="51" t="s">
        <v>27</v>
      </c>
    </row>
    <row r="15" spans="1:5" ht="12.75">
      <c r="A15" s="10" t="s">
        <v>119</v>
      </c>
      <c r="B15" s="1" t="s">
        <v>28</v>
      </c>
      <c r="C15" s="2" t="e">
        <f>C3*SQRT((C3+(3*D13)-(D14^2/C3))/(C3+D13+4.55))</f>
        <v>#DIV/0!</v>
      </c>
      <c r="D15" s="56" t="e">
        <f>ROUND(C15,1)</f>
        <v>#DIV/0!</v>
      </c>
      <c r="E15" t="s">
        <v>29</v>
      </c>
    </row>
    <row r="16" spans="1:5" ht="12.75">
      <c r="A16" s="10" t="s">
        <v>120</v>
      </c>
      <c r="B16" s="49" t="s">
        <v>28</v>
      </c>
      <c r="C16" s="2" t="e">
        <f>C14+C17+C21</f>
        <v>#DIV/0!</v>
      </c>
      <c r="D16" s="56" t="e">
        <f>ROUND(C16,1)</f>
        <v>#DIV/0!</v>
      </c>
      <c r="E16" s="10" t="s">
        <v>5</v>
      </c>
    </row>
    <row r="17" spans="1:5" ht="12.75">
      <c r="A17" s="10"/>
      <c r="B17" s="49" t="s">
        <v>125</v>
      </c>
      <c r="C17" s="52">
        <v>0</v>
      </c>
      <c r="D17" s="53" t="s">
        <v>5</v>
      </c>
      <c r="E17" s="10" t="s">
        <v>126</v>
      </c>
    </row>
    <row r="18" spans="1:4" ht="12.75">
      <c r="A18" s="10"/>
      <c r="B18" s="12" t="s">
        <v>121</v>
      </c>
      <c r="C18" s="13" t="e">
        <f>(2)+(3*(C13/C3))+(C9/C10)</f>
        <v>#DIV/0!</v>
      </c>
      <c r="D18" s="53"/>
    </row>
    <row r="19" spans="1:4" ht="12.75">
      <c r="A19" s="10"/>
      <c r="B19" s="12" t="s">
        <v>122</v>
      </c>
      <c r="C19" s="13" t="e">
        <f>3*(1+(2*C13/C3)+(C9/C10))*(C14/C3+C17/C3)</f>
        <v>#DIV/0!</v>
      </c>
      <c r="D19" s="53"/>
    </row>
    <row r="20" spans="1:4" ht="12.75">
      <c r="A20" s="10"/>
      <c r="B20" s="12" t="s">
        <v>123</v>
      </c>
      <c r="C20" s="13" t="e">
        <f>C56*(1+(3*(C13/C3)))-((C13/C3)+(C9/C10))*((3*(C14/C3)^2)+(6*(C14/C3)*(C17/C3)))-(2*(C9/C10)*((C17/C3)^2))</f>
        <v>#DIV/0!</v>
      </c>
      <c r="D20" s="53"/>
    </row>
    <row r="21" spans="1:5" ht="12.75">
      <c r="A21" s="10"/>
      <c r="B21" s="49" t="s">
        <v>124</v>
      </c>
      <c r="C21" s="2" t="e">
        <f>(-C19+((C19^2+4*C18*C20)^(1/2)))/(2*C18)*C3</f>
        <v>#DIV/0!</v>
      </c>
      <c r="D21" s="53" t="s">
        <v>5</v>
      </c>
      <c r="E21" s="10" t="s">
        <v>127</v>
      </c>
    </row>
    <row r="22" spans="1:5" ht="12.75">
      <c r="A22" s="10" t="s">
        <v>128</v>
      </c>
      <c r="B22" s="49" t="s">
        <v>28</v>
      </c>
      <c r="C22" s="52"/>
      <c r="D22" s="53" t="s">
        <v>5</v>
      </c>
      <c r="E22" s="10"/>
    </row>
    <row r="23" spans="1:5" ht="12.75">
      <c r="A23" s="10" t="s">
        <v>30</v>
      </c>
      <c r="B23" s="1" t="s">
        <v>31</v>
      </c>
      <c r="C23" s="2" t="e">
        <f>0.25*(C3+C13)</f>
        <v>#DIV/0!</v>
      </c>
      <c r="D23" s="9" t="e">
        <f>ROUND(C23,0)</f>
        <v>#DIV/0!</v>
      </c>
      <c r="E23" t="s">
        <v>32</v>
      </c>
    </row>
    <row r="24" spans="1:5" ht="12.75">
      <c r="A24" t="s">
        <v>33</v>
      </c>
      <c r="B24" s="1" t="s">
        <v>34</v>
      </c>
      <c r="C24" s="2" t="e">
        <f>0.7*C23</f>
        <v>#DIV/0!</v>
      </c>
      <c r="D24" s="9" t="e">
        <f>ROUND(C24,1)</f>
        <v>#DIV/0!</v>
      </c>
      <c r="E24" t="s">
        <v>35</v>
      </c>
    </row>
    <row r="26" spans="1:6" s="4" customFormat="1" ht="12.75">
      <c r="A26" s="4" t="s">
        <v>36</v>
      </c>
      <c r="B26" s="5"/>
      <c r="C26" s="6"/>
      <c r="F26" s="3"/>
    </row>
    <row r="27" spans="1:6" s="11" customFormat="1" ht="12.75">
      <c r="A27" s="11" t="s">
        <v>37</v>
      </c>
      <c r="B27" s="12"/>
      <c r="C27" s="13"/>
      <c r="F27" s="3"/>
    </row>
    <row r="28" spans="2:5" ht="12.75">
      <c r="B28" s="1" t="s">
        <v>38</v>
      </c>
      <c r="C28" s="2" t="e">
        <f>C13*C3*C10</f>
        <v>#DIV/0!</v>
      </c>
      <c r="D28" s="18" t="e">
        <f>ROUND(C28,-2)</f>
        <v>#DIV/0!</v>
      </c>
      <c r="E28" t="s">
        <v>39</v>
      </c>
    </row>
    <row r="29" spans="2:5" ht="12.75">
      <c r="B29" s="1" t="s">
        <v>40</v>
      </c>
      <c r="C29" s="2">
        <f>0.5*C3^2*C10</f>
        <v>0</v>
      </c>
      <c r="D29" s="18">
        <f aca="true" t="shared" si="0" ref="D29:D37">ROUND(C29,-2)</f>
        <v>0</v>
      </c>
      <c r="E29" t="s">
        <v>41</v>
      </c>
    </row>
    <row r="30" spans="1:4" ht="12.75">
      <c r="A30" s="11" t="s">
        <v>42</v>
      </c>
      <c r="D30" s="18"/>
    </row>
    <row r="31" spans="2:5" ht="12.75">
      <c r="B31" s="1" t="s">
        <v>43</v>
      </c>
      <c r="C31" s="2">
        <f>D14*C3*C9</f>
        <v>0</v>
      </c>
      <c r="D31" s="18">
        <f t="shared" si="0"/>
        <v>0</v>
      </c>
      <c r="E31" t="s">
        <v>44</v>
      </c>
    </row>
    <row r="32" spans="2:5" ht="12.75">
      <c r="B32" s="1" t="s">
        <v>45</v>
      </c>
      <c r="C32" s="2">
        <f>0.5*(C22-D14)*C3*C9</f>
        <v>0</v>
      </c>
      <c r="D32" s="18">
        <f t="shared" si="0"/>
        <v>0</v>
      </c>
      <c r="E32" t="s">
        <v>46</v>
      </c>
    </row>
    <row r="33" spans="2:5" ht="12.75">
      <c r="B33" s="1" t="s">
        <v>47</v>
      </c>
      <c r="C33" s="2" t="e">
        <f>(C22+D24)*D23*C9</f>
        <v>#DIV/0!</v>
      </c>
      <c r="D33" s="18" t="e">
        <f t="shared" si="0"/>
        <v>#DIV/0!</v>
      </c>
      <c r="E33" t="s">
        <v>48</v>
      </c>
    </row>
    <row r="34" spans="2:5" ht="12.75">
      <c r="B34" s="49" t="s">
        <v>129</v>
      </c>
      <c r="C34" s="2">
        <f>0.5*(C22-D14)*C3*C10</f>
        <v>0</v>
      </c>
      <c r="D34" s="18">
        <f t="shared" si="0"/>
        <v>0</v>
      </c>
      <c r="E34" t="s">
        <v>49</v>
      </c>
    </row>
    <row r="35" spans="2:5" ht="12.75">
      <c r="B35" s="49" t="s">
        <v>130</v>
      </c>
      <c r="C35" s="2" t="e">
        <f>D13*(C22-D14)*C10</f>
        <v>#DIV/0!</v>
      </c>
      <c r="D35" s="18" t="e">
        <f t="shared" si="0"/>
        <v>#DIV/0!</v>
      </c>
      <c r="E35" t="s">
        <v>50</v>
      </c>
    </row>
    <row r="36" spans="2:5" ht="12.75">
      <c r="B36" s="49" t="s">
        <v>131</v>
      </c>
      <c r="C36" s="2" t="e">
        <f>D24*(C3+D13)*C10</f>
        <v>#DIV/0!</v>
      </c>
      <c r="D36" s="18" t="e">
        <f t="shared" si="0"/>
        <v>#DIV/0!</v>
      </c>
      <c r="E36" t="s">
        <v>51</v>
      </c>
    </row>
    <row r="37" spans="2:5" ht="12.75">
      <c r="B37" s="1" t="s">
        <v>52</v>
      </c>
      <c r="C37" s="2" t="e">
        <f>D14*(2/3*D13)*C10</f>
        <v>#DIV/0!</v>
      </c>
      <c r="D37" s="18" t="e">
        <f t="shared" si="0"/>
        <v>#DIV/0!</v>
      </c>
      <c r="E37" t="s">
        <v>53</v>
      </c>
    </row>
    <row r="38" ht="12.75">
      <c r="A38" s="11" t="s">
        <v>54</v>
      </c>
    </row>
    <row r="39" spans="2:10" ht="12.75">
      <c r="B39" s="21"/>
      <c r="C39" s="59" t="s">
        <v>55</v>
      </c>
      <c r="D39" s="60"/>
      <c r="E39" s="59" t="s">
        <v>56</v>
      </c>
      <c r="F39" s="60"/>
      <c r="G39" s="59" t="s">
        <v>57</v>
      </c>
      <c r="H39" s="60"/>
      <c r="I39" s="61" t="s">
        <v>58</v>
      </c>
      <c r="J39" s="60"/>
    </row>
    <row r="40" spans="2:10" ht="12.75">
      <c r="B40" s="29"/>
      <c r="C40" s="33" t="s">
        <v>59</v>
      </c>
      <c r="D40" s="34" t="s">
        <v>60</v>
      </c>
      <c r="E40" s="38" t="s">
        <v>61</v>
      </c>
      <c r="F40" s="31" t="s">
        <v>62</v>
      </c>
      <c r="G40" s="38" t="s">
        <v>63</v>
      </c>
      <c r="H40" s="31" t="s">
        <v>64</v>
      </c>
      <c r="I40" s="30" t="s">
        <v>65</v>
      </c>
      <c r="J40" s="31" t="s">
        <v>66</v>
      </c>
    </row>
    <row r="41" spans="2:10" ht="12.75">
      <c r="B41" s="25" t="s">
        <v>61</v>
      </c>
      <c r="C41" s="35"/>
      <c r="D41" s="28"/>
      <c r="E41" s="26"/>
      <c r="F41" s="24"/>
      <c r="G41" s="26"/>
      <c r="H41" s="24"/>
      <c r="I41" s="19"/>
      <c r="J41" s="24"/>
    </row>
    <row r="42" spans="2:10" ht="12.75">
      <c r="B42" s="26" t="s">
        <v>67</v>
      </c>
      <c r="C42" s="36" t="e">
        <f>D28</f>
        <v>#DIV/0!</v>
      </c>
      <c r="D42" s="27"/>
      <c r="E42" s="35">
        <f>0.5*C3</f>
        <v>0</v>
      </c>
      <c r="F42" s="24" t="e">
        <f>(0.5*C3)+D23</f>
        <v>#DIV/0!</v>
      </c>
      <c r="G42" s="36" t="e">
        <f>C42*E42</f>
        <v>#DIV/0!</v>
      </c>
      <c r="H42" s="27" t="e">
        <f>C42*F42</f>
        <v>#DIV/0!</v>
      </c>
      <c r="I42" s="20"/>
      <c r="J42" s="27"/>
    </row>
    <row r="43" spans="2:10" ht="12.75">
      <c r="B43" s="26" t="s">
        <v>68</v>
      </c>
      <c r="C43" s="36">
        <f>D29</f>
        <v>0</v>
      </c>
      <c r="D43" s="27"/>
      <c r="E43" s="35">
        <f>1/3*C3</f>
        <v>0</v>
      </c>
      <c r="F43" s="24" t="e">
        <f>(1/3*C3)+D23</f>
        <v>#DIV/0!</v>
      </c>
      <c r="G43" s="36">
        <f>C43*E43</f>
        <v>0</v>
      </c>
      <c r="H43" s="27" t="e">
        <f>C43*F43</f>
        <v>#DIV/0!</v>
      </c>
      <c r="I43" s="20"/>
      <c r="J43" s="27"/>
    </row>
    <row r="44" spans="2:10" ht="12.75">
      <c r="B44" s="26" t="s">
        <v>69</v>
      </c>
      <c r="C44" s="36"/>
      <c r="D44" s="27">
        <f>D31</f>
        <v>0</v>
      </c>
      <c r="E44" s="35">
        <f>0.5*D14</f>
        <v>0.35</v>
      </c>
      <c r="F44" s="24">
        <f>0.5*D14</f>
        <v>0.35</v>
      </c>
      <c r="G44" s="36"/>
      <c r="H44" s="27"/>
      <c r="I44" s="20">
        <f>D44*E44</f>
        <v>0</v>
      </c>
      <c r="J44" s="27">
        <f>D44*F44</f>
        <v>0</v>
      </c>
    </row>
    <row r="45" spans="2:10" ht="12.75">
      <c r="B45" s="26" t="s">
        <v>70</v>
      </c>
      <c r="C45" s="36"/>
      <c r="D45" s="27">
        <f>D32</f>
        <v>0</v>
      </c>
      <c r="E45" s="35">
        <f>D14+(1/3*(C22-D14))</f>
        <v>0.4666666666666667</v>
      </c>
      <c r="F45" s="24">
        <f>D14+(1/3*(C22-D14))</f>
        <v>0.4666666666666667</v>
      </c>
      <c r="G45" s="36"/>
      <c r="H45" s="27"/>
      <c r="I45" s="20">
        <f>D45*E45</f>
        <v>0</v>
      </c>
      <c r="J45" s="27">
        <f>D45*F45</f>
        <v>0</v>
      </c>
    </row>
    <row r="46" spans="2:10" ht="12.75">
      <c r="B46" s="57" t="s">
        <v>132</v>
      </c>
      <c r="C46" s="36"/>
      <c r="D46" s="27">
        <f>D34</f>
        <v>0</v>
      </c>
      <c r="E46" s="35">
        <f>D14+(2/3*(C22-D14))</f>
        <v>0.23333333333333334</v>
      </c>
      <c r="F46" s="24">
        <f>D14+(2/3*(C22-D14))</f>
        <v>0.23333333333333334</v>
      </c>
      <c r="G46" s="36"/>
      <c r="H46" s="27"/>
      <c r="I46" s="20">
        <f>D46*E46</f>
        <v>0</v>
      </c>
      <c r="J46" s="27">
        <f>D46*F46</f>
        <v>0</v>
      </c>
    </row>
    <row r="47" spans="2:10" ht="12.75">
      <c r="B47" s="58" t="s">
        <v>133</v>
      </c>
      <c r="C47" s="36"/>
      <c r="D47" s="27" t="e">
        <f>D35</f>
        <v>#DIV/0!</v>
      </c>
      <c r="E47" s="35">
        <f>D14+(0.5*(C22-D14))</f>
        <v>0.35</v>
      </c>
      <c r="F47" s="24">
        <f>D14+(0.5*(C22-D14))</f>
        <v>0.35</v>
      </c>
      <c r="G47" s="36"/>
      <c r="H47" s="27"/>
      <c r="I47" s="20" t="e">
        <f>D47*E47</f>
        <v>#DIV/0!</v>
      </c>
      <c r="J47" s="27" t="e">
        <f>D47*F47</f>
        <v>#DIV/0!</v>
      </c>
    </row>
    <row r="48" spans="2:10" ht="12.75">
      <c r="B48" s="26" t="s">
        <v>71</v>
      </c>
      <c r="C48" s="36"/>
      <c r="D48" s="27" t="e">
        <f>D37</f>
        <v>#DIV/0!</v>
      </c>
      <c r="E48" s="35">
        <f>0.5*D14</f>
        <v>0.35</v>
      </c>
      <c r="F48" s="24">
        <f>0.5*D14</f>
        <v>0.35</v>
      </c>
      <c r="G48" s="36"/>
      <c r="H48" s="27"/>
      <c r="I48" s="20" t="e">
        <f>D48*E48</f>
        <v>#DIV/0!</v>
      </c>
      <c r="J48" s="27" t="e">
        <f>D48*F48</f>
        <v>#DIV/0!</v>
      </c>
    </row>
    <row r="49" spans="2:10" s="4" customFormat="1" ht="12.75">
      <c r="B49" s="40" t="s">
        <v>72</v>
      </c>
      <c r="C49" s="41" t="e">
        <f>SUM(C42:C48)</f>
        <v>#DIV/0!</v>
      </c>
      <c r="D49" s="42" t="e">
        <f>SUM(D42:D48)</f>
        <v>#DIV/0!</v>
      </c>
      <c r="E49" s="43"/>
      <c r="F49" s="44"/>
      <c r="G49" s="41" t="e">
        <f>SUM(G42:G48)</f>
        <v>#DIV/0!</v>
      </c>
      <c r="H49" s="42"/>
      <c r="I49" s="45" t="e">
        <f>SUM(I42:I48)</f>
        <v>#DIV/0!</v>
      </c>
      <c r="J49" s="42"/>
    </row>
    <row r="50" spans="2:10" ht="12.75">
      <c r="B50" s="32" t="s">
        <v>73</v>
      </c>
      <c r="C50" s="37"/>
      <c r="D50" s="23"/>
      <c r="E50" s="21"/>
      <c r="F50" s="39"/>
      <c r="G50" s="21"/>
      <c r="H50" s="23"/>
      <c r="I50" s="22"/>
      <c r="J50" s="23"/>
    </row>
    <row r="51" spans="2:10" ht="12.75">
      <c r="B51" s="26" t="s">
        <v>74</v>
      </c>
      <c r="C51" s="35"/>
      <c r="D51" s="28" t="e">
        <f>D33</f>
        <v>#DIV/0!</v>
      </c>
      <c r="E51" s="26"/>
      <c r="F51" s="55" t="e">
        <f>0.5*(C22+D24)</f>
        <v>#DIV/0!</v>
      </c>
      <c r="G51" s="26"/>
      <c r="H51" s="28"/>
      <c r="I51" s="19"/>
      <c r="J51" s="28" t="e">
        <f>D51*F51</f>
        <v>#DIV/0!</v>
      </c>
    </row>
    <row r="52" spans="2:10" ht="12.75">
      <c r="B52" s="58" t="s">
        <v>134</v>
      </c>
      <c r="C52" s="35"/>
      <c r="D52" s="28" t="e">
        <f>D36</f>
        <v>#DIV/0!</v>
      </c>
      <c r="E52" s="26"/>
      <c r="F52" s="24" t="e">
        <f>C22+0.5*D24</f>
        <v>#DIV/0!</v>
      </c>
      <c r="G52" s="26"/>
      <c r="H52" s="28"/>
      <c r="I52" s="19"/>
      <c r="J52" s="28" t="e">
        <f>D52*F52</f>
        <v>#DIV/0!</v>
      </c>
    </row>
    <row r="53" spans="2:10" ht="12.75">
      <c r="B53" s="40" t="s">
        <v>72</v>
      </c>
      <c r="C53" s="40" t="e">
        <f>SUM(C51:C52,C42:C48)</f>
        <v>#DIV/0!</v>
      </c>
      <c r="D53" s="46" t="e">
        <f>SUM(D51:D52,D42:D48)</f>
        <v>#DIV/0!</v>
      </c>
      <c r="E53" s="40"/>
      <c r="F53" s="47"/>
      <c r="G53" s="40"/>
      <c r="H53" s="46" t="e">
        <f>SUM(H51:H52,H42:H48)</f>
        <v>#DIV/0!</v>
      </c>
      <c r="I53" s="48"/>
      <c r="J53" s="42" t="e">
        <f>SUM(J51:J52,J42:J48)</f>
        <v>#DIV/0!</v>
      </c>
    </row>
    <row r="55" ht="12.75">
      <c r="A55" s="11" t="s">
        <v>75</v>
      </c>
    </row>
    <row r="56" spans="1:3" ht="12.75">
      <c r="A56" s="14" t="s">
        <v>76</v>
      </c>
      <c r="B56" t="s">
        <v>77</v>
      </c>
      <c r="C56" s="15">
        <v>1.5</v>
      </c>
    </row>
    <row r="57" spans="1:5" ht="12.75">
      <c r="A57" s="11"/>
      <c r="B57" s="14"/>
      <c r="C57" s="2" t="e">
        <f>I49/G49</f>
        <v>#DIV/0!</v>
      </c>
      <c r="D57" s="62" t="e">
        <f>IF(C57&gt;C56,"OK","RIDIMENSIONARE")</f>
        <v>#DIV/0!</v>
      </c>
      <c r="E57" s="62"/>
    </row>
    <row r="58" spans="1:3" ht="12.75">
      <c r="A58" s="14" t="s">
        <v>78</v>
      </c>
      <c r="B58" t="s">
        <v>79</v>
      </c>
      <c r="C58" s="15">
        <v>1</v>
      </c>
    </row>
    <row r="59" spans="1:5" ht="12.75">
      <c r="A59" s="14"/>
      <c r="C59" s="2" t="e">
        <f>D49*C7/C49</f>
        <v>#DIV/0!</v>
      </c>
      <c r="D59" s="62" t="e">
        <f>IF(C59&gt;C58,"OK","RIDIMENSIONARE")</f>
        <v>#DIV/0!</v>
      </c>
      <c r="E59" s="62"/>
    </row>
    <row r="60" spans="1:4" ht="12.75">
      <c r="A60" s="14" t="s">
        <v>80</v>
      </c>
      <c r="D60" s="16"/>
    </row>
    <row r="61" spans="2:5" ht="12.75">
      <c r="B61" s="1" t="s">
        <v>81</v>
      </c>
      <c r="C61" s="2" t="e">
        <f>(I49-G49)/D49</f>
        <v>#DIV/0!</v>
      </c>
      <c r="D61" s="17" t="s">
        <v>82</v>
      </c>
      <c r="E61" s="11" t="e">
        <f>IF(C61&gt;=(D15/3),"Sezione compressa","Sezione parzialmente compressa")</f>
        <v>#DIV/0!</v>
      </c>
    </row>
    <row r="62" spans="2:5" ht="12.75">
      <c r="B62" s="1" t="s">
        <v>83</v>
      </c>
      <c r="C62" s="2" t="e">
        <f>C22/2-C61</f>
        <v>#DIV/0!</v>
      </c>
      <c r="D62" s="17" t="s">
        <v>84</v>
      </c>
      <c r="E62" s="11" t="e">
        <f>IF(E61="Sezione compressa","Sforzi di compressione a monte e a valle","Sforzi di trazione a monte e di compressione a valle")</f>
        <v>#DIV/0!</v>
      </c>
    </row>
    <row r="63" spans="2:4" ht="12.75">
      <c r="B63" s="1" t="s">
        <v>85</v>
      </c>
      <c r="C63" s="2" t="e">
        <f>(D49/C22)*(1+(6*C62/C22))/1000000</f>
        <v>#DIV/0!</v>
      </c>
      <c r="D63" s="17" t="s">
        <v>86</v>
      </c>
    </row>
    <row r="64" spans="2:4" ht="12.75">
      <c r="B64" s="1" t="s">
        <v>87</v>
      </c>
      <c r="C64" s="2" t="e">
        <f>(D49/C22)*(1-(6*C62/C22)/1000000)</f>
        <v>#DIV/0!</v>
      </c>
      <c r="D64" s="17" t="s">
        <v>88</v>
      </c>
    </row>
    <row r="66" spans="2:5" ht="12.75">
      <c r="B66" s="1" t="s">
        <v>89</v>
      </c>
      <c r="C66" s="7">
        <v>4</v>
      </c>
      <c r="D66" t="s">
        <v>90</v>
      </c>
      <c r="E66" t="s">
        <v>91</v>
      </c>
    </row>
    <row r="67" spans="2:5" ht="12.75">
      <c r="B67" s="1" t="s">
        <v>92</v>
      </c>
      <c r="C67" s="7">
        <v>-0.05</v>
      </c>
      <c r="D67" t="s">
        <v>93</v>
      </c>
      <c r="E67" t="s">
        <v>94</v>
      </c>
    </row>
    <row r="68" spans="4:5" ht="12.75">
      <c r="D68" s="62" t="e">
        <f>IF((C63&lt;C66)*AND(C64&gt;C67),"OK","RIDIMENSIONARE")</f>
        <v>#DIV/0!</v>
      </c>
      <c r="E68" s="62"/>
    </row>
    <row r="70" ht="12.75">
      <c r="A70" s="11" t="s">
        <v>95</v>
      </c>
    </row>
    <row r="71" spans="1:3" ht="12.75">
      <c r="A71" s="14" t="s">
        <v>96</v>
      </c>
      <c r="B71" t="s">
        <v>97</v>
      </c>
      <c r="C71" s="15">
        <v>1.5</v>
      </c>
    </row>
    <row r="72" spans="1:5" ht="12.75">
      <c r="A72" s="11"/>
      <c r="B72" s="14"/>
      <c r="C72" s="2" t="e">
        <f>J53/H53</f>
        <v>#DIV/0!</v>
      </c>
      <c r="D72" s="62" t="e">
        <f>IF(C72&gt;C71,"OK","RIDIMENSIONARE")</f>
        <v>#DIV/0!</v>
      </c>
      <c r="E72" s="62"/>
    </row>
    <row r="73" spans="1:3" ht="12.75">
      <c r="A73" s="14" t="s">
        <v>98</v>
      </c>
      <c r="B73" t="s">
        <v>99</v>
      </c>
      <c r="C73" s="15">
        <v>1</v>
      </c>
    </row>
    <row r="74" spans="1:5" ht="12.75">
      <c r="A74" s="14"/>
      <c r="C74" s="2" t="e">
        <f>D53*C8/C53</f>
        <v>#DIV/0!</v>
      </c>
      <c r="D74" s="62" t="e">
        <f>IF(C74&gt;C73,"OK","RIDIMENSIONARE")</f>
        <v>#DIV/0!</v>
      </c>
      <c r="E74" s="62"/>
    </row>
    <row r="75" spans="1:4" ht="12.75">
      <c r="A75" s="14" t="s">
        <v>100</v>
      </c>
      <c r="D75" s="16"/>
    </row>
    <row r="76" spans="2:5" ht="12.75">
      <c r="B76" s="1" t="s">
        <v>101</v>
      </c>
      <c r="C76" s="2" t="e">
        <f>(J53-H53)/D53</f>
        <v>#DIV/0!</v>
      </c>
      <c r="D76" s="17" t="s">
        <v>102</v>
      </c>
      <c r="E76" s="11" t="e">
        <f>IF(C76&gt;=(D15/3),"Sezione compressa","Sezione parzialmente compressa")</f>
        <v>#DIV/0!</v>
      </c>
    </row>
    <row r="77" spans="2:5" ht="12.75">
      <c r="B77" s="1" t="s">
        <v>103</v>
      </c>
      <c r="C77" s="2" t="e">
        <f>C22/2-C76</f>
        <v>#DIV/0!</v>
      </c>
      <c r="D77" s="17" t="s">
        <v>104</v>
      </c>
      <c r="E77" s="11" t="e">
        <f>IF(E76="Sezione compressa","Sforzi di compressione a monte e a valle","Sforzo di compressione sulla sezione parzializzata")</f>
        <v>#DIV/0!</v>
      </c>
    </row>
    <row r="78" spans="2:4" ht="12.75">
      <c r="B78" s="1" t="s">
        <v>105</v>
      </c>
      <c r="C78" s="2" t="e">
        <f>2*D53/(3*C76)/1000000</f>
        <v>#DIV/0!</v>
      </c>
      <c r="D78" s="17" t="s">
        <v>106</v>
      </c>
    </row>
    <row r="80" spans="2:5" ht="12.75">
      <c r="B80" s="1" t="s">
        <v>107</v>
      </c>
      <c r="C80" s="7">
        <v>0.25</v>
      </c>
      <c r="D80" t="s">
        <v>108</v>
      </c>
      <c r="E80" t="s">
        <v>109</v>
      </c>
    </row>
    <row r="81" spans="4:5" ht="12.75">
      <c r="D81" s="62" t="e">
        <f>IF(C78&lt;C80,"OK","RIDIMENSIONARE")</f>
        <v>#DIV/0!</v>
      </c>
      <c r="E81" s="62"/>
    </row>
    <row r="83" ht="12.75">
      <c r="A83" s="4" t="s">
        <v>110</v>
      </c>
    </row>
    <row r="84" spans="1:5" ht="12.75">
      <c r="A84" s="10" t="s">
        <v>111</v>
      </c>
      <c r="B84" s="49" t="s">
        <v>113</v>
      </c>
      <c r="C84" s="1" t="e">
        <f>4.3*C3*((2/3*C13)/C3)^0.81</f>
        <v>#DIV/0!</v>
      </c>
      <c r="D84" s="50" t="e">
        <f>ROUND(C84,1)</f>
        <v>#DIV/0!</v>
      </c>
      <c r="E84" s="10" t="s">
        <v>5</v>
      </c>
    </row>
    <row r="85" spans="1:5" ht="12.75">
      <c r="A85" s="10" t="s">
        <v>112</v>
      </c>
      <c r="B85" s="49" t="s">
        <v>113</v>
      </c>
      <c r="C85" s="2" t="e">
        <f>3.55*(2/3*C13)+0.34*C3</f>
        <v>#DIV/0!</v>
      </c>
      <c r="D85" s="50" t="e">
        <f>ROUND(C85,1)</f>
        <v>#DIV/0!</v>
      </c>
      <c r="E85" s="10" t="s">
        <v>5</v>
      </c>
    </row>
    <row r="86" spans="1:5" ht="12.75">
      <c r="A86" s="10" t="s">
        <v>114</v>
      </c>
      <c r="B86" s="49" t="s">
        <v>115</v>
      </c>
      <c r="C86" s="3" t="e">
        <f>1.3*(0.94*(C6/C5)^(2/3)-1.6*C4)</f>
        <v>#DIV/0!</v>
      </c>
      <c r="D86" s="50" t="e">
        <f>ROUND(C86,1)</f>
        <v>#DIV/0!</v>
      </c>
      <c r="E86" s="10" t="s">
        <v>5</v>
      </c>
    </row>
  </sheetData>
  <mergeCells count="10">
    <mergeCell ref="D74:E74"/>
    <mergeCell ref="D81:E81"/>
    <mergeCell ref="D57:E57"/>
    <mergeCell ref="D59:E59"/>
    <mergeCell ref="D68:E68"/>
    <mergeCell ref="D72:E72"/>
    <mergeCell ref="C39:D39"/>
    <mergeCell ref="E39:F39"/>
    <mergeCell ref="G39:H39"/>
    <mergeCell ref="I39:J39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Jacopo Selleroni</dc:creator>
  <cp:keywords/>
  <dc:description/>
  <cp:lastModifiedBy>marco cavalli</cp:lastModifiedBy>
  <cp:lastPrinted>1601-01-01T00:02:05Z</cp:lastPrinted>
  <dcterms:created xsi:type="dcterms:W3CDTF">2004-12-06T20:45:44Z</dcterms:created>
  <dcterms:modified xsi:type="dcterms:W3CDTF">2009-12-17T16:32:08Z</dcterms:modified>
  <cp:category/>
  <cp:version/>
  <cp:contentType/>
  <cp:contentStatus/>
  <cp:revision>15</cp:revision>
</cp:coreProperties>
</file>