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" windowWidth="9876" windowHeight="4056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<sst xmlns="http://schemas.openxmlformats.org/spreadsheetml/2006/main" count="212" uniqueCount="115">
  <si>
    <t>PV</t>
  </si>
  <si>
    <t>latte</t>
  </si>
  <si>
    <t>kg</t>
  </si>
  <si>
    <t>grasso</t>
  </si>
  <si>
    <t>%</t>
  </si>
  <si>
    <t>fase di lattazione</t>
  </si>
  <si>
    <t>media</t>
  </si>
  <si>
    <t>accrescimento/decremento di PV</t>
  </si>
  <si>
    <t>kg/d</t>
  </si>
  <si>
    <t>Fabbisogni</t>
  </si>
  <si>
    <t>4%FCM</t>
  </si>
  <si>
    <t>quantità di latte</t>
  </si>
  <si>
    <t xml:space="preserve">percentuale grasso </t>
  </si>
  <si>
    <t>kg di grasso</t>
  </si>
  <si>
    <t>4% FCM (0.4*qta latte + 15 * kg graso)</t>
  </si>
  <si>
    <t>Razionamento di una vacca in lattazione</t>
  </si>
  <si>
    <t>PV (kg)</t>
  </si>
  <si>
    <t>Calcolo FCM</t>
  </si>
  <si>
    <t>Caratteristiche dell'animale</t>
  </si>
  <si>
    <t>espressa in % PV</t>
  </si>
  <si>
    <t>dati fissi (non modificare)</t>
  </si>
  <si>
    <t>dati da inserire (modificare)</t>
  </si>
  <si>
    <t>formule (non modificare)</t>
  </si>
  <si>
    <t>altri esempi di calcolo dell'FCM</t>
  </si>
  <si>
    <t>Calcolo ingestione SS</t>
  </si>
  <si>
    <t>Ingestione di sostanza secca: tabella 6.1</t>
  </si>
  <si>
    <t xml:space="preserve">calcolo ingestione </t>
  </si>
  <si>
    <t xml:space="preserve">se il dato di FCM e di PV </t>
  </si>
  <si>
    <t xml:space="preserve">è presente in tabella 6.1 riportarlo </t>
  </si>
  <si>
    <t>se il dato do FCM è intermedio</t>
  </si>
  <si>
    <t>inserire il valore max</t>
  </si>
  <si>
    <t>inserire il valore min</t>
  </si>
  <si>
    <t>FCM</t>
  </si>
  <si>
    <t>ingestione</t>
  </si>
  <si>
    <t>calcolo %PV</t>
  </si>
  <si>
    <t>Kg ss</t>
  </si>
  <si>
    <t>Fabbisogni nutritivi di vacche in lattazione: tabella 6.3</t>
  </si>
  <si>
    <t>sostanza secca</t>
  </si>
  <si>
    <t>ENERGIA</t>
  </si>
  <si>
    <t>PROTEINA</t>
  </si>
  <si>
    <t>Calcio (g)</t>
  </si>
  <si>
    <t>Fosforo (g)</t>
  </si>
  <si>
    <t>PG (g)</t>
  </si>
  <si>
    <t>NEL (Mcal)</t>
  </si>
  <si>
    <t xml:space="preserve">             MINERALI</t>
  </si>
  <si>
    <t>Mantenimento</t>
  </si>
  <si>
    <t xml:space="preserve">     Mantenimento + 2 mesi gravidanza</t>
  </si>
  <si>
    <t>Produzione di latte - Nutrienti per kg di latte</t>
  </si>
  <si>
    <t>grasso%</t>
  </si>
  <si>
    <t xml:space="preserve">Variazioni PV- Nutrienti per kg di variazione </t>
  </si>
  <si>
    <t>perdita PV</t>
  </si>
  <si>
    <t>aumentoPV</t>
  </si>
  <si>
    <t>Calcolo dei fabbisogni nutritivi: metodo additivo</t>
  </si>
  <si>
    <t>MODIFICARE FORMULE!!</t>
  </si>
  <si>
    <t>PER VALORI DIVERSI DA:</t>
  </si>
  <si>
    <t xml:space="preserve">PV=700 kg </t>
  </si>
  <si>
    <t>grasso a 3.5%</t>
  </si>
  <si>
    <t>aumento di peso</t>
  </si>
  <si>
    <t>Totale (quantità)</t>
  </si>
  <si>
    <t>Totale (concentrazione)</t>
  </si>
  <si>
    <t xml:space="preserve">riferito al dato di ingestione calcolato </t>
  </si>
  <si>
    <t>Composizione chimica degli alimenti</t>
  </si>
  <si>
    <t>Mais</t>
  </si>
  <si>
    <t>farina</t>
  </si>
  <si>
    <t xml:space="preserve">Soia </t>
  </si>
  <si>
    <t>f.e.</t>
  </si>
  <si>
    <t>Medica</t>
  </si>
  <si>
    <t>fieno</t>
  </si>
  <si>
    <t>Sostanza secca (%)</t>
  </si>
  <si>
    <t>Mcal/kg t.q.</t>
  </si>
  <si>
    <t xml:space="preserve">Energia NEL </t>
  </si>
  <si>
    <t>% t.q.</t>
  </si>
  <si>
    <t>Proteina grezza</t>
  </si>
  <si>
    <t>Calcio</t>
  </si>
  <si>
    <t>Fosforo</t>
  </si>
  <si>
    <t>Mcal/kg s.s.</t>
  </si>
  <si>
    <t>% s.s.</t>
  </si>
  <si>
    <t xml:space="preserve">SUL TAL QUALE </t>
  </si>
  <si>
    <t>SULLA SOSTANZA SECCA</t>
  </si>
  <si>
    <t>Formulazione della dieta</t>
  </si>
  <si>
    <t>1) stabilito un certo rapporto F:C</t>
  </si>
  <si>
    <t xml:space="preserve">Sostanza secca </t>
  </si>
  <si>
    <t>g</t>
  </si>
  <si>
    <t>% foraggi</t>
  </si>
  <si>
    <t>% concentrati</t>
  </si>
  <si>
    <t xml:space="preserve">(Mais + Soia) </t>
  </si>
  <si>
    <t>Dieta</t>
  </si>
  <si>
    <t>Differenza</t>
  </si>
  <si>
    <t xml:space="preserve">Medica </t>
  </si>
  <si>
    <t>007</t>
  </si>
  <si>
    <t>085</t>
  </si>
  <si>
    <t>Insilato di</t>
  </si>
  <si>
    <t>mais</t>
  </si>
  <si>
    <t>Insilato</t>
  </si>
  <si>
    <t>Energia apportata dalla miscela medica / insilato</t>
  </si>
  <si>
    <t>071</t>
  </si>
  <si>
    <t>Soia</t>
  </si>
  <si>
    <t>f.e. 44%</t>
  </si>
  <si>
    <t>mineral</t>
  </si>
  <si>
    <t>mix</t>
  </si>
  <si>
    <t xml:space="preserve">Mineral </t>
  </si>
  <si>
    <t xml:space="preserve">Energia apportata dalla miscela mais/soia/mineral </t>
  </si>
  <si>
    <t>min</t>
  </si>
  <si>
    <t>max</t>
  </si>
  <si>
    <t>Mcal/kg</t>
  </si>
  <si>
    <t>Calcolo della % foraggio</t>
  </si>
  <si>
    <t>FORAGGI</t>
  </si>
  <si>
    <t>CONCENTRATI</t>
  </si>
  <si>
    <t>Energia apportata dalla dieta</t>
  </si>
  <si>
    <t>kg ss</t>
  </si>
  <si>
    <t>Foraggi</t>
  </si>
  <si>
    <t>Concentrati</t>
  </si>
  <si>
    <t>(x diff)</t>
  </si>
  <si>
    <t>1) stabiliamo stessa % per i 2 foraggi</t>
  </si>
  <si>
    <t>Calcolo quantità foraggi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</si>
</sst>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"/>
    <numFmt numFmtId="173" formatCode="0.0000"/>
    <numFmt numFmtId="174" formatCode="0.00000000"/>
    <numFmt numFmtId="175" formatCode="0.0000000"/>
    <numFmt numFmtId="176" formatCode="0.0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170" fontId="1" fillId="34" borderId="0" xfId="0" applyNumberFormat="1" applyFont="1" applyFill="1" applyBorder="1" applyAlignment="1">
      <alignment/>
    </xf>
    <xf numFmtId="170" fontId="1" fillId="34" borderId="18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170" fontId="1" fillId="34" borderId="15" xfId="0" applyNumberFormat="1" applyFont="1" applyFill="1" applyBorder="1" applyAlignment="1">
      <alignment/>
    </xf>
    <xf numFmtId="170" fontId="1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right"/>
    </xf>
    <xf numFmtId="170" fontId="0" fillId="35" borderId="0" xfId="0" applyNumberFormat="1" applyFill="1" applyAlignment="1">
      <alignment/>
    </xf>
    <xf numFmtId="0" fontId="0" fillId="0" borderId="0" xfId="0" applyFill="1" applyAlignment="1">
      <alignment/>
    </xf>
    <xf numFmtId="2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7" xfId="0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1" fillId="34" borderId="0" xfId="0" applyNumberFormat="1" applyFont="1" applyFill="1" applyBorder="1" applyAlignment="1">
      <alignment/>
    </xf>
    <xf numFmtId="1" fontId="1" fillId="34" borderId="15" xfId="0" applyNumberFormat="1" applyFont="1" applyFill="1" applyBorder="1" applyAlignment="1">
      <alignment/>
    </xf>
    <xf numFmtId="1" fontId="1" fillId="34" borderId="18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170" fontId="1" fillId="34" borderId="10" xfId="0" applyNumberFormat="1" applyFont="1" applyFill="1" applyBorder="1" applyAlignment="1">
      <alignment/>
    </xf>
    <xf numFmtId="170" fontId="1" fillId="34" borderId="17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170" fontId="1" fillId="0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1" fillId="33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/>
    </xf>
    <xf numFmtId="0" fontId="0" fillId="0" borderId="24" xfId="0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" fontId="1" fillId="33" borderId="27" xfId="0" applyNumberFormat="1" applyFont="1" applyFill="1" applyBorder="1" applyAlignment="1">
      <alignment/>
    </xf>
    <xf numFmtId="2" fontId="1" fillId="33" borderId="28" xfId="0" applyNumberFormat="1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2" fontId="1" fillId="34" borderId="25" xfId="0" applyNumberFormat="1" applyFont="1" applyFill="1" applyBorder="1" applyAlignment="1">
      <alignment/>
    </xf>
    <xf numFmtId="2" fontId="1" fillId="34" borderId="27" xfId="0" applyNumberFormat="1" applyFont="1" applyFill="1" applyBorder="1" applyAlignment="1">
      <alignment/>
    </xf>
    <xf numFmtId="2" fontId="1" fillId="34" borderId="28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2" fontId="1" fillId="33" borderId="24" xfId="0" applyNumberFormat="1" applyFont="1" applyFill="1" applyBorder="1" applyAlignment="1">
      <alignment/>
    </xf>
    <xf numFmtId="2" fontId="1" fillId="33" borderId="26" xfId="0" applyNumberFormat="1" applyFont="1" applyFill="1" applyBorder="1" applyAlignment="1">
      <alignment/>
    </xf>
    <xf numFmtId="0" fontId="1" fillId="33" borderId="30" xfId="0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1" fontId="1" fillId="33" borderId="25" xfId="0" applyNumberFormat="1" applyFont="1" applyFill="1" applyBorder="1" applyAlignment="1">
      <alignment/>
    </xf>
    <xf numFmtId="1" fontId="1" fillId="33" borderId="27" xfId="0" applyNumberFormat="1" applyFont="1" applyFill="1" applyBorder="1" applyAlignment="1">
      <alignment/>
    </xf>
    <xf numFmtId="1" fontId="1" fillId="33" borderId="28" xfId="0" applyNumberFormat="1" applyFont="1" applyFill="1" applyBorder="1" applyAlignment="1">
      <alignment/>
    </xf>
    <xf numFmtId="1" fontId="0" fillId="33" borderId="0" xfId="0" applyNumberFormat="1" applyFill="1" applyAlignment="1">
      <alignment/>
    </xf>
    <xf numFmtId="0" fontId="1" fillId="33" borderId="31" xfId="0" applyFont="1" applyFill="1" applyBorder="1" applyAlignment="1">
      <alignment/>
    </xf>
    <xf numFmtId="2" fontId="0" fillId="33" borderId="25" xfId="0" applyNumberFormat="1" applyFill="1" applyBorder="1" applyAlignment="1">
      <alignment/>
    </xf>
    <xf numFmtId="1" fontId="0" fillId="33" borderId="0" xfId="0" applyNumberFormat="1" applyFill="1" applyBorder="1" applyAlignment="1">
      <alignment/>
    </xf>
    <xf numFmtId="1" fontId="0" fillId="33" borderId="25" xfId="0" applyNumberFormat="1" applyFill="1" applyBorder="1" applyAlignment="1">
      <alignment/>
    </xf>
    <xf numFmtId="1" fontId="0" fillId="33" borderId="27" xfId="0" applyNumberFormat="1" applyFill="1" applyBorder="1" applyAlignment="1">
      <alignment/>
    </xf>
    <xf numFmtId="1" fontId="0" fillId="33" borderId="28" xfId="0" applyNumberFormat="1" applyFill="1" applyBorder="1" applyAlignment="1">
      <alignment/>
    </xf>
    <xf numFmtId="1" fontId="1" fillId="33" borderId="24" xfId="0" applyNumberFormat="1" applyFont="1" applyFill="1" applyBorder="1" applyAlignment="1">
      <alignment/>
    </xf>
    <xf numFmtId="1" fontId="1" fillId="33" borderId="26" xfId="0" applyNumberFormat="1" applyFont="1" applyFill="1" applyBorder="1" applyAlignment="1">
      <alignment/>
    </xf>
    <xf numFmtId="2" fontId="1" fillId="35" borderId="21" xfId="0" applyNumberFormat="1" applyFont="1" applyFill="1" applyBorder="1" applyAlignment="1">
      <alignment/>
    </xf>
    <xf numFmtId="0" fontId="0" fillId="0" borderId="0" xfId="0" applyAlignment="1" quotePrefix="1">
      <alignment/>
    </xf>
    <xf numFmtId="0" fontId="0" fillId="34" borderId="0" xfId="0" applyFill="1" applyBorder="1" applyAlignment="1">
      <alignment/>
    </xf>
    <xf numFmtId="9" fontId="1" fillId="34" borderId="0" xfId="0" applyNumberFormat="1" applyFont="1" applyFill="1" applyBorder="1" applyAlignment="1">
      <alignment/>
    </xf>
    <xf numFmtId="171" fontId="0" fillId="33" borderId="0" xfId="0" applyNumberFormat="1" applyFill="1" applyAlignment="1">
      <alignment/>
    </xf>
    <xf numFmtId="171" fontId="0" fillId="0" borderId="0" xfId="0" applyNumberFormat="1" applyFill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1" fontId="0" fillId="33" borderId="24" xfId="0" applyNumberFormat="1" applyFont="1" applyFill="1" applyBorder="1" applyAlignment="1">
      <alignment/>
    </xf>
    <xf numFmtId="1" fontId="0" fillId="33" borderId="0" xfId="0" applyNumberFormat="1" applyFont="1" applyFill="1" applyBorder="1" applyAlignment="1">
      <alignment/>
    </xf>
    <xf numFmtId="1" fontId="0" fillId="33" borderId="25" xfId="0" applyNumberFormat="1" applyFont="1" applyFill="1" applyBorder="1" applyAlignment="1">
      <alignment/>
    </xf>
    <xf numFmtId="1" fontId="0" fillId="33" borderId="26" xfId="0" applyNumberFormat="1" applyFill="1" applyBorder="1" applyAlignment="1">
      <alignment/>
    </xf>
    <xf numFmtId="2" fontId="0" fillId="33" borderId="32" xfId="0" applyNumberFormat="1" applyFill="1" applyBorder="1" applyAlignment="1">
      <alignment/>
    </xf>
    <xf numFmtId="1" fontId="0" fillId="33" borderId="33" xfId="0" applyNumberFormat="1" applyFill="1" applyBorder="1" applyAlignment="1">
      <alignment/>
    </xf>
    <xf numFmtId="1" fontId="0" fillId="33" borderId="34" xfId="0" applyNumberForma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29" xfId="0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V128"/>
  <sheetViews>
    <sheetView tabSelected="1" zoomScale="80" zoomScaleNormal="80" zoomScalePageLayoutView="0" workbookViewId="0" topLeftCell="A1">
      <selection activeCell="L121" sqref="L121"/>
    </sheetView>
  </sheetViews>
  <sheetFormatPr defaultColWidth="9.140625" defaultRowHeight="12.75"/>
  <cols>
    <col min="1" max="1" width="33.57421875" style="0" bestFit="1" customWidth="1"/>
    <col min="2" max="2" width="11.28125" style="0" customWidth="1"/>
    <col min="3" max="3" width="10.00390625" style="0" customWidth="1"/>
    <col min="4" max="4" width="12.28125" style="0" customWidth="1"/>
    <col min="5" max="5" width="9.7109375" style="0" customWidth="1"/>
    <col min="6" max="6" width="10.28125" style="0" customWidth="1"/>
    <col min="7" max="7" width="10.7109375" style="0" customWidth="1"/>
    <col min="10" max="39" width="9.00390625" style="0" customWidth="1"/>
    <col min="40" max="40" width="32.00390625" style="3" customWidth="1"/>
    <col min="41" max="41" width="11.421875" style="0" bestFit="1" customWidth="1"/>
    <col min="43" max="43" width="12.421875" style="0" bestFit="1" customWidth="1"/>
  </cols>
  <sheetData>
    <row r="1" spans="1:6" ht="19.5">
      <c r="A1" s="2" t="s">
        <v>15</v>
      </c>
      <c r="D1" s="22" t="s">
        <v>21</v>
      </c>
      <c r="E1" s="22"/>
      <c r="F1" s="22"/>
    </row>
    <row r="2" spans="1:6" ht="19.5">
      <c r="A2" s="2"/>
      <c r="D2" s="5" t="s">
        <v>22</v>
      </c>
      <c r="E2" s="5"/>
      <c r="F2" s="5"/>
    </row>
    <row r="3" spans="1:6" ht="19.5">
      <c r="A3" s="2"/>
      <c r="D3" s="21" t="s">
        <v>20</v>
      </c>
      <c r="E3" s="21"/>
      <c r="F3" s="21"/>
    </row>
    <row r="4" ht="19.5">
      <c r="A4" s="2" t="s">
        <v>18</v>
      </c>
    </row>
    <row r="5" spans="1:3" ht="12.75">
      <c r="A5" t="s">
        <v>0</v>
      </c>
      <c r="B5" s="23">
        <v>600</v>
      </c>
      <c r="C5" t="s">
        <v>2</v>
      </c>
    </row>
    <row r="6" spans="1:3" ht="12.75">
      <c r="A6" t="s">
        <v>1</v>
      </c>
      <c r="B6" s="23">
        <v>40</v>
      </c>
      <c r="C6" t="s">
        <v>2</v>
      </c>
    </row>
    <row r="7" spans="1:3" ht="12.75">
      <c r="A7" t="s">
        <v>3</v>
      </c>
      <c r="B7" s="23">
        <v>3.5</v>
      </c>
      <c r="C7" t="s">
        <v>4</v>
      </c>
    </row>
    <row r="8" spans="1:2" ht="12.75">
      <c r="A8" t="s">
        <v>5</v>
      </c>
      <c r="B8" s="24" t="s">
        <v>6</v>
      </c>
    </row>
    <row r="9" spans="1:3" ht="12.75">
      <c r="A9" t="s">
        <v>7</v>
      </c>
      <c r="B9" s="23">
        <v>0.385</v>
      </c>
      <c r="C9" t="s">
        <v>8</v>
      </c>
    </row>
    <row r="11" ht="19.5">
      <c r="A11" s="2" t="s">
        <v>25</v>
      </c>
    </row>
    <row r="12" spans="1:7" ht="12.75">
      <c r="A12" t="s">
        <v>37</v>
      </c>
      <c r="B12" s="7"/>
      <c r="C12" s="8"/>
      <c r="D12" s="9"/>
      <c r="E12" s="9" t="s">
        <v>16</v>
      </c>
      <c r="F12" s="9"/>
      <c r="G12" s="10"/>
    </row>
    <row r="13" spans="1:7" ht="12.75">
      <c r="A13" t="s">
        <v>19</v>
      </c>
      <c r="B13" s="11" t="s">
        <v>10</v>
      </c>
      <c r="C13" s="12">
        <v>400</v>
      </c>
      <c r="D13" s="12">
        <f>C13+100</f>
        <v>500</v>
      </c>
      <c r="E13" s="12">
        <f>D13+100</f>
        <v>600</v>
      </c>
      <c r="F13" s="12">
        <f>E13+100</f>
        <v>700</v>
      </c>
      <c r="G13" s="13">
        <f>F13+100</f>
        <v>800</v>
      </c>
    </row>
    <row r="14" spans="2:7" ht="12.75">
      <c r="B14" s="14">
        <v>10</v>
      </c>
      <c r="C14" s="15">
        <v>2.7</v>
      </c>
      <c r="D14" s="15">
        <v>2.4</v>
      </c>
      <c r="E14" s="15">
        <v>2.2</v>
      </c>
      <c r="F14" s="15">
        <v>2</v>
      </c>
      <c r="G14" s="16">
        <v>1.9</v>
      </c>
    </row>
    <row r="15" spans="2:7" ht="12.75">
      <c r="B15" s="14">
        <f>B14+5</f>
        <v>15</v>
      </c>
      <c r="C15" s="15">
        <v>3.2</v>
      </c>
      <c r="D15" s="15">
        <v>2.8</v>
      </c>
      <c r="E15" s="15">
        <v>2.6</v>
      </c>
      <c r="F15" s="15">
        <v>2.3</v>
      </c>
      <c r="G15" s="16">
        <v>2.2</v>
      </c>
    </row>
    <row r="16" spans="2:7" ht="12.75">
      <c r="B16" s="14">
        <f aca="true" t="shared" si="0" ref="B16:B24">B15+5</f>
        <v>20</v>
      </c>
      <c r="C16" s="15">
        <f>C15+0.4</f>
        <v>3.6</v>
      </c>
      <c r="D16" s="15">
        <f>D15+0.4</f>
        <v>3.1999999999999997</v>
      </c>
      <c r="E16" s="15">
        <v>2.9</v>
      </c>
      <c r="F16" s="17">
        <v>2.6</v>
      </c>
      <c r="G16" s="16">
        <v>2.4</v>
      </c>
    </row>
    <row r="17" spans="2:7" ht="12.75">
      <c r="B17" s="14">
        <f t="shared" si="0"/>
        <v>25</v>
      </c>
      <c r="C17" s="15">
        <f>C16+0.4</f>
        <v>4</v>
      </c>
      <c r="D17" s="15">
        <v>3.5</v>
      </c>
      <c r="E17" s="15">
        <v>3.2</v>
      </c>
      <c r="F17" s="15">
        <v>2.9</v>
      </c>
      <c r="G17" s="16">
        <v>2.7</v>
      </c>
    </row>
    <row r="18" spans="2:7" ht="12.75">
      <c r="B18" s="14">
        <f t="shared" si="0"/>
        <v>30</v>
      </c>
      <c r="C18" s="15">
        <f>C17+0.4</f>
        <v>4.4</v>
      </c>
      <c r="D18" s="15">
        <f>D17+0.4</f>
        <v>3.9</v>
      </c>
      <c r="E18" s="15">
        <v>3.5</v>
      </c>
      <c r="F18" s="15">
        <f>F17+0.3</f>
        <v>3.1999999999999997</v>
      </c>
      <c r="G18" s="16">
        <v>2.9</v>
      </c>
    </row>
    <row r="19" spans="2:7" ht="12.75">
      <c r="B19" s="14">
        <f t="shared" si="0"/>
        <v>35</v>
      </c>
      <c r="C19" s="15">
        <f>C18+0.4</f>
        <v>4.800000000000001</v>
      </c>
      <c r="D19" s="15">
        <v>4.2</v>
      </c>
      <c r="E19" s="15">
        <v>3.7</v>
      </c>
      <c r="F19" s="15">
        <f aca="true" t="shared" si="1" ref="F19:G21">F18+0.2</f>
        <v>3.4</v>
      </c>
      <c r="G19" s="16">
        <f t="shared" si="1"/>
        <v>3.1</v>
      </c>
    </row>
    <row r="20" spans="2:7" ht="12.75">
      <c r="B20" s="14">
        <f t="shared" si="0"/>
        <v>40</v>
      </c>
      <c r="C20" s="15">
        <f>C19+0.4</f>
        <v>5.200000000000001</v>
      </c>
      <c r="D20" s="15">
        <f>D19+0.4</f>
        <v>4.6000000000000005</v>
      </c>
      <c r="E20" s="15">
        <v>4</v>
      </c>
      <c r="F20" s="15">
        <f t="shared" si="1"/>
        <v>3.6</v>
      </c>
      <c r="G20" s="16">
        <f t="shared" si="1"/>
        <v>3.3000000000000003</v>
      </c>
    </row>
    <row r="21" spans="2:7" ht="12.75">
      <c r="B21" s="14">
        <f t="shared" si="0"/>
        <v>45</v>
      </c>
      <c r="C21" s="15"/>
      <c r="D21" s="15">
        <f>D20+0.4</f>
        <v>5.000000000000001</v>
      </c>
      <c r="E21" s="15">
        <v>4.3</v>
      </c>
      <c r="F21" s="15">
        <f t="shared" si="1"/>
        <v>3.8000000000000003</v>
      </c>
      <c r="G21" s="16">
        <f t="shared" si="1"/>
        <v>3.5000000000000004</v>
      </c>
    </row>
    <row r="22" spans="2:7" ht="12.75">
      <c r="B22" s="14">
        <f t="shared" si="0"/>
        <v>50</v>
      </c>
      <c r="C22" s="15"/>
      <c r="D22" s="15">
        <f>D21+0.4</f>
        <v>5.400000000000001</v>
      </c>
      <c r="E22" s="15">
        <v>4.7</v>
      </c>
      <c r="F22" s="15">
        <v>4.1</v>
      </c>
      <c r="G22" s="16">
        <v>3.7</v>
      </c>
    </row>
    <row r="23" spans="2:7" ht="12.75">
      <c r="B23" s="14">
        <f t="shared" si="0"/>
        <v>55</v>
      </c>
      <c r="C23" s="15"/>
      <c r="D23" s="15"/>
      <c r="E23" s="15">
        <v>5</v>
      </c>
      <c r="F23" s="15">
        <v>4.4</v>
      </c>
      <c r="G23" s="16">
        <v>4</v>
      </c>
    </row>
    <row r="24" spans="2:7" ht="12.75">
      <c r="B24" s="18">
        <f t="shared" si="0"/>
        <v>60</v>
      </c>
      <c r="C24" s="19"/>
      <c r="D24" s="19"/>
      <c r="E24" s="19">
        <v>5.4</v>
      </c>
      <c r="F24" s="19">
        <v>4.6</v>
      </c>
      <c r="G24" s="20">
        <v>4.3</v>
      </c>
    </row>
    <row r="25" ht="12.75">
      <c r="F25" s="1"/>
    </row>
    <row r="26" ht="19.5">
      <c r="A26" s="2" t="s">
        <v>17</v>
      </c>
    </row>
    <row r="27" ht="12.75">
      <c r="E27" t="s">
        <v>23</v>
      </c>
    </row>
    <row r="28" spans="1:7" ht="12.75">
      <c r="A28" t="s">
        <v>11</v>
      </c>
      <c r="B28" s="5">
        <f>B6</f>
        <v>40</v>
      </c>
      <c r="E28" s="22">
        <v>15</v>
      </c>
      <c r="F28" s="22">
        <v>40</v>
      </c>
      <c r="G28" s="22">
        <v>40</v>
      </c>
    </row>
    <row r="29" spans="1:7" ht="12.75">
      <c r="A29" t="s">
        <v>12</v>
      </c>
      <c r="B29" s="5">
        <f>B7</f>
        <v>3.5</v>
      </c>
      <c r="E29" s="22">
        <v>5.5</v>
      </c>
      <c r="F29" s="22">
        <v>3.5</v>
      </c>
      <c r="G29" s="22">
        <v>4</v>
      </c>
    </row>
    <row r="30" spans="1:7" ht="12.75">
      <c r="A30" t="s">
        <v>13</v>
      </c>
      <c r="B30" s="5">
        <f>B28*B29/100</f>
        <v>1.4</v>
      </c>
      <c r="E30" s="5">
        <f>E28*E29/100</f>
        <v>0.825</v>
      </c>
      <c r="F30" s="5">
        <f>F28*F29/100</f>
        <v>1.4</v>
      </c>
      <c r="G30" s="5">
        <f>G28*G29/100</f>
        <v>1.6</v>
      </c>
    </row>
    <row r="32" spans="1:7" ht="12.75">
      <c r="A32" t="s">
        <v>14</v>
      </c>
      <c r="B32" s="5">
        <f>0.4*B28+15*B30</f>
        <v>37</v>
      </c>
      <c r="E32" s="5">
        <f>0.4*E28+15*E30</f>
        <v>18.375</v>
      </c>
      <c r="F32" s="5">
        <f>0.4*F28+15*F30</f>
        <v>37</v>
      </c>
      <c r="G32" s="5">
        <f>0.4*G28+15*G30</f>
        <v>40</v>
      </c>
    </row>
    <row r="34" ht="19.5">
      <c r="A34" s="2" t="s">
        <v>24</v>
      </c>
    </row>
    <row r="36" ht="12.75">
      <c r="A36" t="s">
        <v>27</v>
      </c>
    </row>
    <row r="37" spans="1:4" ht="12.75">
      <c r="A37" t="s">
        <v>28</v>
      </c>
      <c r="C37" s="27">
        <v>4</v>
      </c>
      <c r="D37" t="s">
        <v>4</v>
      </c>
    </row>
    <row r="38" spans="1:4" ht="12.75">
      <c r="A38" t="s">
        <v>26</v>
      </c>
      <c r="C38" s="28">
        <f>B5*(C37/100)</f>
        <v>24</v>
      </c>
      <c r="D38" t="s">
        <v>35</v>
      </c>
    </row>
    <row r="40" spans="1:4" ht="12.75">
      <c r="A40" t="s">
        <v>29</v>
      </c>
      <c r="B40" s="5">
        <f>B32</f>
        <v>37</v>
      </c>
      <c r="C40" t="s">
        <v>32</v>
      </c>
      <c r="D40" t="s">
        <v>33</v>
      </c>
    </row>
    <row r="41" spans="1:4" ht="12.75">
      <c r="A41" t="s">
        <v>30</v>
      </c>
      <c r="C41" s="22">
        <v>40</v>
      </c>
      <c r="D41" s="25">
        <v>3.6</v>
      </c>
    </row>
    <row r="42" spans="1:4" ht="12.75">
      <c r="A42" t="s">
        <v>31</v>
      </c>
      <c r="C42" s="22">
        <v>35</v>
      </c>
      <c r="D42" s="25">
        <v>3.4</v>
      </c>
    </row>
    <row r="44" spans="1:4" ht="12.75">
      <c r="A44" t="s">
        <v>34</v>
      </c>
      <c r="C44" s="6">
        <f>D42+((D41-D42)*(((B40-C42)/(C41-C42)*100)/100))</f>
        <v>3.48</v>
      </c>
      <c r="D44" t="s">
        <v>4</v>
      </c>
    </row>
    <row r="45" spans="1:4" ht="12.75">
      <c r="A45" t="s">
        <v>26</v>
      </c>
      <c r="C45" s="5">
        <f>B5*(C44/100)</f>
        <v>20.88</v>
      </c>
      <c r="D45" t="s">
        <v>35</v>
      </c>
    </row>
    <row r="47" ht="19.5">
      <c r="A47" s="2" t="s">
        <v>36</v>
      </c>
    </row>
    <row r="48" spans="2:7" ht="12.75">
      <c r="B48" s="14"/>
      <c r="C48" s="31" t="s">
        <v>38</v>
      </c>
      <c r="D48" s="31" t="s">
        <v>39</v>
      </c>
      <c r="E48" s="33" t="s">
        <v>44</v>
      </c>
      <c r="F48" s="33"/>
      <c r="G48" s="29"/>
    </row>
    <row r="49" spans="2:7" ht="12.75">
      <c r="B49" s="35"/>
      <c r="C49" s="32" t="s">
        <v>43</v>
      </c>
      <c r="D49" s="32" t="s">
        <v>42</v>
      </c>
      <c r="E49" s="32" t="s">
        <v>40</v>
      </c>
      <c r="F49" s="32" t="s">
        <v>41</v>
      </c>
      <c r="G49" s="29"/>
    </row>
    <row r="50" spans="2:7" ht="12.75">
      <c r="B50" s="14" t="s">
        <v>16</v>
      </c>
      <c r="C50" s="36"/>
      <c r="D50" s="15" t="s">
        <v>45</v>
      </c>
      <c r="E50" s="15"/>
      <c r="F50" s="15"/>
      <c r="G50" s="30"/>
    </row>
    <row r="51" spans="2:7" ht="12.75">
      <c r="B51" s="14">
        <v>400</v>
      </c>
      <c r="C51" s="36">
        <v>7.16</v>
      </c>
      <c r="D51" s="39">
        <v>318</v>
      </c>
      <c r="E51" s="39">
        <v>16</v>
      </c>
      <c r="F51" s="39">
        <v>11</v>
      </c>
      <c r="G51" s="30"/>
    </row>
    <row r="52" spans="2:7" ht="12.75">
      <c r="B52" s="14">
        <f aca="true" t="shared" si="2" ref="B52:B59">B51+50</f>
        <v>450</v>
      </c>
      <c r="C52" s="36">
        <v>7.82</v>
      </c>
      <c r="D52" s="39">
        <v>341</v>
      </c>
      <c r="E52" s="39">
        <v>18</v>
      </c>
      <c r="F52" s="39">
        <v>13</v>
      </c>
      <c r="G52" s="30"/>
    </row>
    <row r="53" spans="2:7" ht="12.75">
      <c r="B53" s="14">
        <f t="shared" si="2"/>
        <v>500</v>
      </c>
      <c r="C53" s="36">
        <v>8.46</v>
      </c>
      <c r="D53" s="39">
        <v>364</v>
      </c>
      <c r="E53" s="39">
        <v>20</v>
      </c>
      <c r="F53" s="39">
        <v>14</v>
      </c>
      <c r="G53" s="30"/>
    </row>
    <row r="54" spans="2:7" ht="12.75">
      <c r="B54" s="14">
        <f t="shared" si="2"/>
        <v>550</v>
      </c>
      <c r="C54" s="36">
        <v>9.09</v>
      </c>
      <c r="D54" s="39">
        <v>386</v>
      </c>
      <c r="E54" s="39">
        <v>22</v>
      </c>
      <c r="F54" s="39">
        <v>16</v>
      </c>
      <c r="G54" s="30"/>
    </row>
    <row r="55" spans="2:7" ht="12.75">
      <c r="B55" s="14">
        <f t="shared" si="2"/>
        <v>600</v>
      </c>
      <c r="C55" s="36">
        <v>9.7</v>
      </c>
      <c r="D55" s="39">
        <v>406</v>
      </c>
      <c r="E55" s="39">
        <v>24</v>
      </c>
      <c r="F55" s="39">
        <v>17</v>
      </c>
      <c r="G55" s="30"/>
    </row>
    <row r="56" spans="2:7" ht="12.75">
      <c r="B56" s="14">
        <f t="shared" si="2"/>
        <v>650</v>
      </c>
      <c r="C56" s="36">
        <v>10.3</v>
      </c>
      <c r="D56" s="39">
        <v>428</v>
      </c>
      <c r="E56" s="39">
        <v>26</v>
      </c>
      <c r="F56" s="39">
        <v>19</v>
      </c>
      <c r="G56" s="30"/>
    </row>
    <row r="57" spans="2:7" ht="12.75">
      <c r="B57" s="14">
        <f t="shared" si="2"/>
        <v>700</v>
      </c>
      <c r="C57" s="36">
        <v>10.89</v>
      </c>
      <c r="D57" s="39">
        <v>449</v>
      </c>
      <c r="E57" s="39">
        <v>28</v>
      </c>
      <c r="F57" s="39">
        <v>20</v>
      </c>
      <c r="G57" s="30"/>
    </row>
    <row r="58" spans="2:7" ht="12.75">
      <c r="B58" s="14">
        <f t="shared" si="2"/>
        <v>750</v>
      </c>
      <c r="C58" s="36">
        <v>11.47</v>
      </c>
      <c r="D58" s="39">
        <v>468</v>
      </c>
      <c r="E58" s="39">
        <v>30</v>
      </c>
      <c r="F58" s="39">
        <v>21</v>
      </c>
      <c r="G58" s="30"/>
    </row>
    <row r="59" spans="2:7" ht="12.75">
      <c r="B59" s="14">
        <f t="shared" si="2"/>
        <v>800</v>
      </c>
      <c r="C59" s="36">
        <v>12.03</v>
      </c>
      <c r="D59" s="39">
        <v>486</v>
      </c>
      <c r="E59" s="39">
        <v>32</v>
      </c>
      <c r="F59" s="39">
        <v>23</v>
      </c>
      <c r="G59" s="30"/>
    </row>
    <row r="60" spans="2:7" ht="12.75">
      <c r="B60" s="14"/>
      <c r="C60" s="15" t="s">
        <v>46</v>
      </c>
      <c r="D60" s="21"/>
      <c r="E60" s="39"/>
      <c r="F60" s="39"/>
      <c r="G60" s="30"/>
    </row>
    <row r="61" spans="2:6" ht="12.75">
      <c r="B61" s="14">
        <v>400</v>
      </c>
      <c r="C61" s="36">
        <v>9.3</v>
      </c>
      <c r="D61" s="39">
        <v>890</v>
      </c>
      <c r="E61" s="39">
        <v>26</v>
      </c>
      <c r="F61" s="39">
        <v>16</v>
      </c>
    </row>
    <row r="62" spans="2:6" ht="12.75">
      <c r="B62" s="14">
        <f aca="true" t="shared" si="3" ref="B62:B69">B61+50</f>
        <v>450</v>
      </c>
      <c r="C62" s="36">
        <v>10.16</v>
      </c>
      <c r="D62" s="39">
        <v>973</v>
      </c>
      <c r="E62" s="39">
        <v>30</v>
      </c>
      <c r="F62" s="39">
        <v>18</v>
      </c>
    </row>
    <row r="63" spans="2:6" ht="12.75">
      <c r="B63" s="14">
        <f t="shared" si="3"/>
        <v>500</v>
      </c>
      <c r="C63" s="42">
        <v>11</v>
      </c>
      <c r="D63" s="39">
        <v>1053</v>
      </c>
      <c r="E63" s="39">
        <v>33</v>
      </c>
      <c r="F63" s="39">
        <v>20</v>
      </c>
    </row>
    <row r="64" spans="2:6" ht="12.75">
      <c r="B64" s="14">
        <f t="shared" si="3"/>
        <v>550</v>
      </c>
      <c r="C64" s="42">
        <v>11.81</v>
      </c>
      <c r="D64" s="39">
        <v>1131</v>
      </c>
      <c r="E64" s="39">
        <v>36</v>
      </c>
      <c r="F64" s="41">
        <v>22</v>
      </c>
    </row>
    <row r="65" spans="2:6" ht="12.75">
      <c r="B65" s="14">
        <f t="shared" si="3"/>
        <v>600</v>
      </c>
      <c r="C65" s="42">
        <v>12.61</v>
      </c>
      <c r="D65" s="39">
        <v>1207</v>
      </c>
      <c r="E65" s="39">
        <v>39</v>
      </c>
      <c r="F65" s="41">
        <v>24</v>
      </c>
    </row>
    <row r="66" spans="2:6" ht="12.75">
      <c r="B66" s="14">
        <f t="shared" si="3"/>
        <v>650</v>
      </c>
      <c r="C66" s="42">
        <v>13.39</v>
      </c>
      <c r="D66" s="39">
        <v>1281</v>
      </c>
      <c r="E66" s="39">
        <v>43</v>
      </c>
      <c r="F66" s="41">
        <v>26</v>
      </c>
    </row>
    <row r="67" spans="2:6" ht="12.75">
      <c r="B67" s="14">
        <f t="shared" si="3"/>
        <v>700</v>
      </c>
      <c r="C67" s="42">
        <v>14.15</v>
      </c>
      <c r="D67" s="39">
        <v>1355</v>
      </c>
      <c r="E67" s="39">
        <v>46</v>
      </c>
      <c r="F67" s="41">
        <v>28</v>
      </c>
    </row>
    <row r="68" spans="2:6" ht="12.75">
      <c r="B68" s="14">
        <f t="shared" si="3"/>
        <v>750</v>
      </c>
      <c r="C68" s="42">
        <v>14.9</v>
      </c>
      <c r="D68" s="39">
        <v>1427</v>
      </c>
      <c r="E68" s="39">
        <v>49</v>
      </c>
      <c r="F68" s="41">
        <v>30</v>
      </c>
    </row>
    <row r="69" spans="2:6" ht="12.75">
      <c r="B69" s="14">
        <f t="shared" si="3"/>
        <v>800</v>
      </c>
      <c r="C69" s="42">
        <v>15.64</v>
      </c>
      <c r="D69" s="39">
        <v>1497</v>
      </c>
      <c r="E69" s="39">
        <v>53</v>
      </c>
      <c r="F69" s="41">
        <v>32</v>
      </c>
    </row>
    <row r="70" spans="2:6" ht="12.75">
      <c r="B70" s="34"/>
      <c r="C70" s="42" t="s">
        <v>47</v>
      </c>
      <c r="D70" s="39"/>
      <c r="E70" s="39"/>
      <c r="F70" s="41"/>
    </row>
    <row r="71" spans="2:6" ht="12.75">
      <c r="B71" s="34" t="s">
        <v>48</v>
      </c>
      <c r="C71" s="42"/>
      <c r="D71" s="39"/>
      <c r="E71" s="39"/>
      <c r="F71" s="41"/>
    </row>
    <row r="72" spans="2:6" ht="12.75">
      <c r="B72" s="43">
        <v>3</v>
      </c>
      <c r="C72" s="42">
        <v>0.64</v>
      </c>
      <c r="D72" s="39">
        <v>78</v>
      </c>
      <c r="E72" s="36">
        <v>2.73</v>
      </c>
      <c r="F72" s="45">
        <v>1.68</v>
      </c>
    </row>
    <row r="73" spans="2:6" ht="12.75">
      <c r="B73" s="43">
        <f>B72+0.5</f>
        <v>3.5</v>
      </c>
      <c r="C73" s="42">
        <v>0.69</v>
      </c>
      <c r="D73" s="39">
        <v>84</v>
      </c>
      <c r="E73" s="36">
        <v>2.97</v>
      </c>
      <c r="F73" s="45">
        <v>1.83</v>
      </c>
    </row>
    <row r="74" spans="2:6" ht="12.75">
      <c r="B74" s="43">
        <f>B73+0.5</f>
        <v>4</v>
      </c>
      <c r="C74" s="42">
        <v>0.74</v>
      </c>
      <c r="D74" s="39">
        <v>90</v>
      </c>
      <c r="E74" s="36">
        <v>3.21</v>
      </c>
      <c r="F74" s="45">
        <v>1.98</v>
      </c>
    </row>
    <row r="75" spans="2:6" ht="12.75">
      <c r="B75" s="43">
        <f>B74+0.5</f>
        <v>4.5</v>
      </c>
      <c r="C75" s="42">
        <v>0.78</v>
      </c>
      <c r="D75" s="39">
        <v>96</v>
      </c>
      <c r="E75" s="36">
        <v>3.45</v>
      </c>
      <c r="F75" s="45">
        <v>2.13</v>
      </c>
    </row>
    <row r="76" spans="2:6" ht="12.75">
      <c r="B76" s="43">
        <f>B75+0.5</f>
        <v>5</v>
      </c>
      <c r="C76" s="42">
        <v>0.83</v>
      </c>
      <c r="D76" s="39">
        <v>101</v>
      </c>
      <c r="E76" s="36">
        <v>3.69</v>
      </c>
      <c r="F76" s="45">
        <v>2.28</v>
      </c>
    </row>
    <row r="77" spans="2:6" ht="12.75">
      <c r="B77" s="44">
        <f>B76+0.5</f>
        <v>5.5</v>
      </c>
      <c r="C77" s="36">
        <v>0.88</v>
      </c>
      <c r="D77" s="39">
        <v>107</v>
      </c>
      <c r="E77" s="36">
        <v>3.93</v>
      </c>
      <c r="F77" s="45">
        <v>2.43</v>
      </c>
    </row>
    <row r="78" spans="2:6" ht="12.75">
      <c r="B78" s="14"/>
      <c r="C78" s="36" t="s">
        <v>49</v>
      </c>
      <c r="D78" s="39"/>
      <c r="E78" s="39"/>
      <c r="F78" s="39"/>
    </row>
    <row r="79" spans="2:6" ht="12.75">
      <c r="B79" s="14" t="s">
        <v>50</v>
      </c>
      <c r="C79" s="36">
        <v>-4.92</v>
      </c>
      <c r="D79" s="39">
        <v>-320</v>
      </c>
      <c r="E79" s="39">
        <v>0</v>
      </c>
      <c r="F79" s="39">
        <v>0</v>
      </c>
    </row>
    <row r="80" spans="2:6" ht="12.75">
      <c r="B80" s="18" t="s">
        <v>51</v>
      </c>
      <c r="C80" s="37">
        <v>5.12</v>
      </c>
      <c r="D80" s="40">
        <v>320</v>
      </c>
      <c r="E80" s="40">
        <v>0</v>
      </c>
      <c r="F80" s="40">
        <v>0</v>
      </c>
    </row>
    <row r="82" ht="19.5">
      <c r="A82" s="2" t="s">
        <v>52</v>
      </c>
    </row>
    <row r="83" spans="1:6" ht="13.5" thickBot="1">
      <c r="A83" s="4"/>
      <c r="B83" s="4"/>
      <c r="C83" s="4"/>
      <c r="D83" s="4"/>
      <c r="E83" s="4"/>
      <c r="F83" s="4"/>
    </row>
    <row r="84" spans="1:7" ht="12.75">
      <c r="A84" s="48"/>
      <c r="B84" s="29"/>
      <c r="C84" s="63" t="s">
        <v>38</v>
      </c>
      <c r="D84" s="64" t="s">
        <v>39</v>
      </c>
      <c r="E84" s="64" t="s">
        <v>44</v>
      </c>
      <c r="F84" s="65"/>
      <c r="G84" s="50" t="s">
        <v>53</v>
      </c>
    </row>
    <row r="85" spans="1:7" ht="13.5" thickBot="1">
      <c r="A85" s="48"/>
      <c r="B85" s="48"/>
      <c r="C85" s="66" t="s">
        <v>43</v>
      </c>
      <c r="D85" s="67" t="s">
        <v>42</v>
      </c>
      <c r="E85" s="67" t="s">
        <v>40</v>
      </c>
      <c r="F85" s="68" t="s">
        <v>41</v>
      </c>
      <c r="G85" s="50" t="s">
        <v>54</v>
      </c>
    </row>
    <row r="86" spans="1:7" ht="12.75">
      <c r="A86" s="52" t="s">
        <v>45</v>
      </c>
      <c r="B86" s="69"/>
      <c r="C86" s="53">
        <f>C57</f>
        <v>10.89</v>
      </c>
      <c r="D86" s="53">
        <f>D57</f>
        <v>449</v>
      </c>
      <c r="E86" s="53">
        <f>E57</f>
        <v>28</v>
      </c>
      <c r="F86" s="54">
        <f>F57</f>
        <v>20</v>
      </c>
      <c r="G86" s="51" t="s">
        <v>55</v>
      </c>
    </row>
    <row r="87" spans="1:7" ht="12.75">
      <c r="A87" s="55" t="s">
        <v>47</v>
      </c>
      <c r="B87" s="70"/>
      <c r="C87" s="49">
        <f>$B$28*C73</f>
        <v>27.599999999999998</v>
      </c>
      <c r="D87" s="49">
        <f>$B$28*D73</f>
        <v>3360</v>
      </c>
      <c r="E87" s="49">
        <f>$B$28*E73</f>
        <v>118.80000000000001</v>
      </c>
      <c r="F87" s="56">
        <f>$B$28*F73</f>
        <v>73.2</v>
      </c>
      <c r="G87" s="51" t="s">
        <v>56</v>
      </c>
    </row>
    <row r="88" spans="1:7" ht="12.75">
      <c r="A88" s="55" t="s">
        <v>49</v>
      </c>
      <c r="B88" s="70"/>
      <c r="C88" s="49">
        <f>$B$9*C80</f>
        <v>1.9712</v>
      </c>
      <c r="D88" s="49">
        <f>$B$9*D80</f>
        <v>123.2</v>
      </c>
      <c r="E88" s="49">
        <f>$B$9*E80</f>
        <v>0</v>
      </c>
      <c r="F88" s="56">
        <f>$B$9*F80</f>
        <v>0</v>
      </c>
      <c r="G88" s="51" t="s">
        <v>57</v>
      </c>
    </row>
    <row r="89" spans="1:6" ht="12.75">
      <c r="A89" s="57"/>
      <c r="B89" s="70"/>
      <c r="C89" s="46"/>
      <c r="D89" s="47"/>
      <c r="E89" s="47"/>
      <c r="F89" s="58"/>
    </row>
    <row r="90" spans="1:6" ht="12.75">
      <c r="A90" s="59" t="s">
        <v>58</v>
      </c>
      <c r="B90" s="70"/>
      <c r="C90" s="49">
        <f>SUM(C86:C88)</f>
        <v>40.4612</v>
      </c>
      <c r="D90" s="49">
        <f>SUM(D86:D88)</f>
        <v>3932.2</v>
      </c>
      <c r="E90" s="49">
        <f>SUM(E86:E88)</f>
        <v>146.8</v>
      </c>
      <c r="F90" s="56">
        <f>SUM(F86:F88)</f>
        <v>93.2</v>
      </c>
    </row>
    <row r="91" spans="1:7" ht="13.5" thickBot="1">
      <c r="A91" s="60" t="s">
        <v>59</v>
      </c>
      <c r="B91" s="71"/>
      <c r="C91" s="61">
        <f>C90/$C$45</f>
        <v>1.9377969348659003</v>
      </c>
      <c r="D91" s="61">
        <f>D90/1000/$C$45*100</f>
        <v>18.832375478927204</v>
      </c>
      <c r="E91" s="61">
        <f>E90/1000/$C$45*100</f>
        <v>0.7030651340996169</v>
      </c>
      <c r="F91" s="62">
        <f>F90/1000/$C$45*100</f>
        <v>0.4463601532567051</v>
      </c>
      <c r="G91" s="51" t="s">
        <v>60</v>
      </c>
    </row>
    <row r="92" spans="1:6" ht="12.75">
      <c r="A92" s="48"/>
      <c r="B92" s="48"/>
      <c r="C92" s="48"/>
      <c r="D92" s="48"/>
      <c r="E92" s="48"/>
      <c r="F92" s="48"/>
    </row>
    <row r="93" spans="1:40" ht="19.5">
      <c r="A93" s="2" t="s">
        <v>61</v>
      </c>
      <c r="AN93" s="2" t="s">
        <v>61</v>
      </c>
    </row>
    <row r="94" spans="40:45" ht="13.5" thickBot="1">
      <c r="AN94"/>
      <c r="AP94" s="119" t="s">
        <v>89</v>
      </c>
      <c r="AQ94" s="119" t="s">
        <v>90</v>
      </c>
      <c r="AR94" s="119" t="s">
        <v>95</v>
      </c>
      <c r="AS94">
        <v>215</v>
      </c>
    </row>
    <row r="95" spans="1:46" ht="12.75">
      <c r="A95" s="72"/>
      <c r="B95" s="73"/>
      <c r="C95" s="72" t="s">
        <v>62</v>
      </c>
      <c r="D95" s="73" t="s">
        <v>64</v>
      </c>
      <c r="E95" s="74" t="s">
        <v>66</v>
      </c>
      <c r="AN95" s="72"/>
      <c r="AO95" s="73"/>
      <c r="AP95" s="17" t="s">
        <v>88</v>
      </c>
      <c r="AQ95" s="17" t="s">
        <v>91</v>
      </c>
      <c r="AR95" s="17" t="s">
        <v>62</v>
      </c>
      <c r="AS95" s="17" t="s">
        <v>64</v>
      </c>
      <c r="AT95" s="21" t="s">
        <v>98</v>
      </c>
    </row>
    <row r="96" spans="1:46" ht="13.5" thickBot="1">
      <c r="A96" s="81" t="s">
        <v>77</v>
      </c>
      <c r="B96" s="17"/>
      <c r="C96" s="75" t="s">
        <v>63</v>
      </c>
      <c r="D96" s="76" t="s">
        <v>65</v>
      </c>
      <c r="E96" s="77" t="s">
        <v>67</v>
      </c>
      <c r="AN96" s="81" t="s">
        <v>77</v>
      </c>
      <c r="AO96" s="17"/>
      <c r="AP96" s="17" t="s">
        <v>67</v>
      </c>
      <c r="AQ96" s="17" t="s">
        <v>92</v>
      </c>
      <c r="AR96" s="17" t="s">
        <v>63</v>
      </c>
      <c r="AS96" s="121" t="s">
        <v>97</v>
      </c>
      <c r="AT96" s="21" t="s">
        <v>99</v>
      </c>
    </row>
    <row r="97" spans="1:46" ht="12.75">
      <c r="A97" s="72" t="s">
        <v>68</v>
      </c>
      <c r="B97" s="74" t="s">
        <v>4</v>
      </c>
      <c r="C97" s="73">
        <v>88</v>
      </c>
      <c r="D97" s="73">
        <v>89</v>
      </c>
      <c r="E97" s="74">
        <v>90</v>
      </c>
      <c r="AN97" s="72" t="s">
        <v>68</v>
      </c>
      <c r="AO97" s="73" t="s">
        <v>4</v>
      </c>
      <c r="AP97" s="17">
        <v>90</v>
      </c>
      <c r="AQ97" s="17">
        <v>33</v>
      </c>
      <c r="AR97" s="17">
        <v>87</v>
      </c>
      <c r="AS97" s="17">
        <v>89</v>
      </c>
      <c r="AT97" s="21"/>
    </row>
    <row r="98" spans="1:46" ht="12.75">
      <c r="A98" s="81" t="s">
        <v>70</v>
      </c>
      <c r="B98" s="82" t="s">
        <v>69</v>
      </c>
      <c r="C98" s="36">
        <v>1.7247999999999999</v>
      </c>
      <c r="D98" s="36">
        <v>1.7266</v>
      </c>
      <c r="E98" s="78">
        <v>1.17</v>
      </c>
      <c r="AN98" s="81" t="s">
        <v>70</v>
      </c>
      <c r="AO98" s="17" t="s">
        <v>69</v>
      </c>
      <c r="AP98" s="36"/>
      <c r="AQ98" s="36"/>
      <c r="AR98" s="36"/>
      <c r="AS98" s="120"/>
      <c r="AT98" s="21"/>
    </row>
    <row r="99" spans="1:46" ht="12.75">
      <c r="A99" s="81" t="s">
        <v>72</v>
      </c>
      <c r="B99" s="82" t="s">
        <v>71</v>
      </c>
      <c r="C99" s="36">
        <v>7.92</v>
      </c>
      <c r="D99" s="36">
        <v>40.05</v>
      </c>
      <c r="E99" s="78">
        <v>14.4</v>
      </c>
      <c r="AN99" s="81" t="s">
        <v>72</v>
      </c>
      <c r="AO99" s="17" t="s">
        <v>71</v>
      </c>
      <c r="AP99" s="36"/>
      <c r="AQ99" s="36"/>
      <c r="AR99" s="36"/>
      <c r="AS99" s="120"/>
      <c r="AT99" s="21"/>
    </row>
    <row r="100" spans="1:46" ht="12.75">
      <c r="A100" s="81" t="s">
        <v>73</v>
      </c>
      <c r="B100" s="82" t="s">
        <v>71</v>
      </c>
      <c r="C100" s="36">
        <v>0.026399999999999996</v>
      </c>
      <c r="D100" s="36">
        <v>0.267</v>
      </c>
      <c r="E100" s="78">
        <v>1.296</v>
      </c>
      <c r="AN100" s="81" t="s">
        <v>73</v>
      </c>
      <c r="AO100" s="17" t="s">
        <v>71</v>
      </c>
      <c r="AP100" s="36"/>
      <c r="AQ100" s="36"/>
      <c r="AR100" s="36"/>
      <c r="AS100" s="120"/>
      <c r="AT100" s="21"/>
    </row>
    <row r="101" spans="1:46" ht="13.5" thickBot="1">
      <c r="A101" s="75" t="s">
        <v>74</v>
      </c>
      <c r="B101" s="77" t="s">
        <v>71</v>
      </c>
      <c r="C101" s="79">
        <v>0.2552</v>
      </c>
      <c r="D101" s="79">
        <v>0.6052000000000001</v>
      </c>
      <c r="E101" s="80">
        <v>0.225</v>
      </c>
      <c r="AN101" s="75" t="s">
        <v>74</v>
      </c>
      <c r="AO101" s="76" t="s">
        <v>71</v>
      </c>
      <c r="AP101" s="36"/>
      <c r="AQ101" s="36"/>
      <c r="AR101" s="36"/>
      <c r="AS101" s="120"/>
      <c r="AT101" s="21"/>
    </row>
    <row r="102" ht="13.5" thickBot="1">
      <c r="AN102"/>
    </row>
    <row r="103" spans="1:48" ht="13.5" thickBot="1">
      <c r="A103" s="94" t="s">
        <v>78</v>
      </c>
      <c r="B103" s="95"/>
      <c r="C103" s="91" t="s">
        <v>62</v>
      </c>
      <c r="D103" s="92" t="s">
        <v>64</v>
      </c>
      <c r="E103" s="93" t="s">
        <v>66</v>
      </c>
      <c r="AN103" s="94" t="s">
        <v>78</v>
      </c>
      <c r="AO103" s="95"/>
      <c r="AP103" s="91" t="s">
        <v>66</v>
      </c>
      <c r="AQ103" s="92" t="s">
        <v>93</v>
      </c>
      <c r="AR103" s="93" t="s">
        <v>62</v>
      </c>
      <c r="AS103" s="83" t="s">
        <v>96</v>
      </c>
      <c r="AT103" s="83" t="s">
        <v>100</v>
      </c>
      <c r="AV103" s="83" t="s">
        <v>86</v>
      </c>
    </row>
    <row r="104" spans="1:48" ht="12.75">
      <c r="A104" s="84" t="s">
        <v>70</v>
      </c>
      <c r="B104" s="85" t="s">
        <v>75</v>
      </c>
      <c r="C104" s="99">
        <f>C98/(C$97/100)</f>
        <v>1.96</v>
      </c>
      <c r="D104" s="53">
        <f>D98/(D$97/100)</f>
        <v>1.94</v>
      </c>
      <c r="E104" s="54">
        <f>E98/(E$97/100)</f>
        <v>1.2999999999999998</v>
      </c>
      <c r="AN104" s="84" t="s">
        <v>70</v>
      </c>
      <c r="AO104" s="85" t="s">
        <v>75</v>
      </c>
      <c r="AP104" s="99">
        <v>1.35</v>
      </c>
      <c r="AQ104" s="53">
        <v>1.6</v>
      </c>
      <c r="AR104" s="54">
        <v>1.91</v>
      </c>
      <c r="AS104" s="49">
        <v>1.94</v>
      </c>
      <c r="AT104" s="49">
        <v>0</v>
      </c>
      <c r="AV104" s="49">
        <f>C90</f>
        <v>40.4612</v>
      </c>
    </row>
    <row r="105" spans="1:48" ht="12.75">
      <c r="A105" s="86" t="s">
        <v>72</v>
      </c>
      <c r="B105" s="87" t="s">
        <v>76</v>
      </c>
      <c r="C105" s="102">
        <f aca="true" t="shared" si="4" ref="C105:E107">C99/(C$97/100)</f>
        <v>9</v>
      </c>
      <c r="D105" s="49">
        <f t="shared" si="4"/>
        <v>44.99999999999999</v>
      </c>
      <c r="E105" s="56">
        <f t="shared" si="4"/>
        <v>16</v>
      </c>
      <c r="AN105" s="86" t="s">
        <v>72</v>
      </c>
      <c r="AO105" s="87" t="s">
        <v>76</v>
      </c>
      <c r="AP105" s="102">
        <v>18</v>
      </c>
      <c r="AQ105" s="49">
        <v>8.1</v>
      </c>
      <c r="AR105" s="56">
        <v>9</v>
      </c>
      <c r="AS105" s="49">
        <v>49.9</v>
      </c>
      <c r="AT105" s="49">
        <v>0</v>
      </c>
      <c r="AV105" s="105">
        <f>D90</f>
        <v>3932.2</v>
      </c>
    </row>
    <row r="106" spans="1:48" ht="12.75">
      <c r="A106" s="86" t="s">
        <v>73</v>
      </c>
      <c r="B106" s="87" t="s">
        <v>76</v>
      </c>
      <c r="C106" s="102">
        <f t="shared" si="4"/>
        <v>0.029999999999999995</v>
      </c>
      <c r="D106" s="49">
        <f t="shared" si="4"/>
        <v>0.3</v>
      </c>
      <c r="E106" s="56">
        <f t="shared" si="4"/>
        <v>1.44</v>
      </c>
      <c r="AN106" s="86" t="s">
        <v>73</v>
      </c>
      <c r="AO106" s="87" t="s">
        <v>76</v>
      </c>
      <c r="AP106" s="102">
        <v>1.41</v>
      </c>
      <c r="AQ106" s="49">
        <v>0.23</v>
      </c>
      <c r="AR106" s="56">
        <v>0.07</v>
      </c>
      <c r="AS106" s="49">
        <v>0.3</v>
      </c>
      <c r="AT106" s="49">
        <v>20</v>
      </c>
      <c r="AV106" s="105">
        <f>E90</f>
        <v>146.8</v>
      </c>
    </row>
    <row r="107" spans="1:48" ht="13.5" thickBot="1">
      <c r="A107" s="89" t="s">
        <v>74</v>
      </c>
      <c r="B107" s="90" t="s">
        <v>76</v>
      </c>
      <c r="C107" s="103">
        <f t="shared" si="4"/>
        <v>0.29</v>
      </c>
      <c r="D107" s="61">
        <f t="shared" si="4"/>
        <v>0.68</v>
      </c>
      <c r="E107" s="62">
        <f t="shared" si="4"/>
        <v>0.25</v>
      </c>
      <c r="AN107" s="89" t="s">
        <v>74</v>
      </c>
      <c r="AO107" s="90" t="s">
        <v>76</v>
      </c>
      <c r="AP107" s="103">
        <v>0.22</v>
      </c>
      <c r="AQ107" s="61">
        <v>0.22</v>
      </c>
      <c r="AR107" s="62">
        <v>0.27</v>
      </c>
      <c r="AS107" s="49">
        <v>0.68</v>
      </c>
      <c r="AT107" s="49">
        <v>20</v>
      </c>
      <c r="AV107" s="106">
        <f>F90</f>
        <v>93.2</v>
      </c>
    </row>
    <row r="108" ht="12.75">
      <c r="AN108"/>
    </row>
    <row r="109" spans="1:40" ht="19.5">
      <c r="A109" s="2" t="s">
        <v>79</v>
      </c>
      <c r="C109" t="s">
        <v>83</v>
      </c>
      <c r="D109" t="s">
        <v>84</v>
      </c>
      <c r="AN109" s="2" t="s">
        <v>79</v>
      </c>
    </row>
    <row r="110" spans="1:43" ht="19.5">
      <c r="A110" s="2" t="s">
        <v>80</v>
      </c>
      <c r="C110" s="22">
        <v>50</v>
      </c>
      <c r="D110" s="5">
        <f>100-C110</f>
        <v>50</v>
      </c>
      <c r="AN110" s="2" t="s">
        <v>113</v>
      </c>
      <c r="AP110" s="22">
        <v>50</v>
      </c>
      <c r="AQ110" s="5">
        <f>100-AP110</f>
        <v>50</v>
      </c>
    </row>
    <row r="111" spans="40:44" ht="13.5" thickBot="1">
      <c r="AN111" s="3" t="s">
        <v>94</v>
      </c>
      <c r="AO111" t="s">
        <v>104</v>
      </c>
      <c r="AR111" s="5">
        <f>(AP104*AP110+AQ104*50)/100</f>
        <v>1.475</v>
      </c>
    </row>
    <row r="112" spans="1:44" ht="13.5" thickBot="1">
      <c r="A112" s="29"/>
      <c r="B112" s="48"/>
      <c r="C112" s="94" t="s">
        <v>66</v>
      </c>
      <c r="D112" s="104" t="s">
        <v>85</v>
      </c>
      <c r="AO112" s="48"/>
      <c r="AP112" s="38" t="s">
        <v>102</v>
      </c>
      <c r="AQ112" t="s">
        <v>103</v>
      </c>
      <c r="AR112" t="s">
        <v>6</v>
      </c>
    </row>
    <row r="113" spans="1:44" ht="12.75">
      <c r="A113" s="91" t="s">
        <v>81</v>
      </c>
      <c r="B113" s="85" t="s">
        <v>2</v>
      </c>
      <c r="C113" s="99">
        <f>C110/100*C45</f>
        <v>10.44</v>
      </c>
      <c r="D113" s="54">
        <f>D110/100*C45</f>
        <v>10.44</v>
      </c>
      <c r="E113" s="51" t="s">
        <v>60</v>
      </c>
      <c r="AN113" s="3" t="s">
        <v>101</v>
      </c>
      <c r="AO113" t="s">
        <v>104</v>
      </c>
      <c r="AP113" s="122">
        <f>AR104*0.98</f>
        <v>1.8718</v>
      </c>
      <c r="AQ113" s="122">
        <f>AS104*0.98</f>
        <v>1.9012</v>
      </c>
      <c r="AR113" s="122">
        <f>(AP113+AQ113)/2</f>
        <v>1.8864999999999998</v>
      </c>
    </row>
    <row r="114" spans="1:43" ht="12.75">
      <c r="A114" s="100"/>
      <c r="B114" s="87"/>
      <c r="C114" s="100"/>
      <c r="D114" s="101"/>
      <c r="AN114" s="48"/>
      <c r="AO114" s="48"/>
      <c r="AP114" s="48"/>
      <c r="AQ114" s="48"/>
    </row>
    <row r="115" spans="1:44" ht="12.75">
      <c r="A115" s="86" t="s">
        <v>70</v>
      </c>
      <c r="B115" s="87" t="s">
        <v>75</v>
      </c>
      <c r="C115" s="102">
        <f>C$113*E104</f>
        <v>13.571999999999997</v>
      </c>
      <c r="D115" s="56">
        <f>C90-C115</f>
        <v>26.889200000000002</v>
      </c>
      <c r="AN115" s="3" t="s">
        <v>108</v>
      </c>
      <c r="AO115" t="s">
        <v>104</v>
      </c>
      <c r="AQ115" s="48"/>
      <c r="AR115" s="28">
        <f>C91</f>
        <v>1.9377969348659003</v>
      </c>
    </row>
    <row r="116" spans="1:44" ht="12.75">
      <c r="A116" s="86" t="s">
        <v>72</v>
      </c>
      <c r="B116" s="87" t="s">
        <v>82</v>
      </c>
      <c r="C116" s="116">
        <f>C$113*1000*E105/100</f>
        <v>1670.4</v>
      </c>
      <c r="D116" s="106">
        <f>D90-C116</f>
        <v>2261.7999999999997</v>
      </c>
      <c r="AN116" s="48"/>
      <c r="AQ116" s="26"/>
      <c r="AR116" s="123"/>
    </row>
    <row r="117" spans="1:45" ht="12.75">
      <c r="A117" s="86" t="s">
        <v>73</v>
      </c>
      <c r="B117" s="87" t="s">
        <v>82</v>
      </c>
      <c r="C117" s="116">
        <f>C$113*1000*E106/100</f>
        <v>150.33599999999998</v>
      </c>
      <c r="D117" s="106">
        <f>E90-C117</f>
        <v>-3.535999999999973</v>
      </c>
      <c r="AN117" s="48" t="s">
        <v>105</v>
      </c>
      <c r="AP117" t="s">
        <v>106</v>
      </c>
      <c r="AS117" s="48" t="s">
        <v>107</v>
      </c>
    </row>
    <row r="118" spans="1:45" ht="13.5" thickBot="1">
      <c r="A118" s="89" t="s">
        <v>74</v>
      </c>
      <c r="B118" s="90" t="s">
        <v>82</v>
      </c>
      <c r="C118" s="117">
        <f>C$113*1000*E107/100</f>
        <v>26.1</v>
      </c>
      <c r="D118" s="108">
        <f>F90-C118</f>
        <v>67.1</v>
      </c>
      <c r="AN118" s="48"/>
      <c r="AO118" t="s">
        <v>4</v>
      </c>
      <c r="AP118" s="49">
        <f>(AR115-AR113)/(AR111-AR113)*100</f>
        <v>-12.465840793657474</v>
      </c>
      <c r="AS118" s="49">
        <f>100-AP118</f>
        <v>112.46584079365748</v>
      </c>
    </row>
    <row r="119" spans="40:45" ht="13.5" thickBot="1">
      <c r="AN119" s="48"/>
      <c r="AO119" s="48" t="s">
        <v>109</v>
      </c>
      <c r="AP119" s="28">
        <f>C45*AP118/100</f>
        <v>-2.6028675577156806</v>
      </c>
      <c r="AS119" s="28">
        <f>C45*AS118/100</f>
        <v>23.482867557715682</v>
      </c>
    </row>
    <row r="120" spans="1:45" ht="13.5" thickBot="1">
      <c r="A120" s="29"/>
      <c r="B120" s="48"/>
      <c r="C120" s="94" t="s">
        <v>62</v>
      </c>
      <c r="D120" s="110" t="s">
        <v>64</v>
      </c>
      <c r="E120" s="110" t="s">
        <v>66</v>
      </c>
      <c r="F120" s="110" t="s">
        <v>86</v>
      </c>
      <c r="G120" s="110" t="s">
        <v>9</v>
      </c>
      <c r="H120" s="104" t="s">
        <v>87</v>
      </c>
      <c r="AN120" s="48"/>
      <c r="AO120" s="48"/>
      <c r="AP120" s="135" t="s">
        <v>110</v>
      </c>
      <c r="AQ120" s="136" t="s">
        <v>66</v>
      </c>
      <c r="AR120" s="137" t="s">
        <v>93</v>
      </c>
      <c r="AS120" t="s">
        <v>111</v>
      </c>
    </row>
    <row r="121" spans="1:45" ht="12.75">
      <c r="A121" s="91" t="s">
        <v>81</v>
      </c>
      <c r="B121" s="85" t="s">
        <v>2</v>
      </c>
      <c r="C121" s="118">
        <v>5.22</v>
      </c>
      <c r="D121" s="53">
        <f>D113-C121</f>
        <v>5.22</v>
      </c>
      <c r="E121" s="53">
        <f>C113</f>
        <v>10.44</v>
      </c>
      <c r="F121" s="97">
        <f>SUM(C121:E121)</f>
        <v>20.88</v>
      </c>
      <c r="G121" s="85">
        <f>C45</f>
        <v>20.88</v>
      </c>
      <c r="H121" s="98">
        <f>F121-G121</f>
        <v>0</v>
      </c>
      <c r="AN121" s="3" t="s">
        <v>114</v>
      </c>
      <c r="AO121" t="s">
        <v>4</v>
      </c>
      <c r="AP121" s="134"/>
      <c r="AQ121" s="138">
        <v>50</v>
      </c>
      <c r="AR121" s="129">
        <f>100-AQ121</f>
        <v>50</v>
      </c>
      <c r="AS121" t="s">
        <v>112</v>
      </c>
    </row>
    <row r="122" spans="1:44" ht="13.5" thickBot="1">
      <c r="A122" s="100"/>
      <c r="B122" s="87"/>
      <c r="C122" s="100"/>
      <c r="D122" s="83"/>
      <c r="E122" s="49"/>
      <c r="F122" s="96"/>
      <c r="G122" s="87"/>
      <c r="H122" s="88"/>
      <c r="AO122" s="48" t="s">
        <v>109</v>
      </c>
      <c r="AP122" s="124">
        <f>AQ122+AR122</f>
        <v>-2.6028675577156806</v>
      </c>
      <c r="AQ122" s="125">
        <f>AP119*0.5</f>
        <v>-1.3014337788578403</v>
      </c>
      <c r="AR122" s="126">
        <f>AP119*AR121/100</f>
        <v>-1.3014337788578403</v>
      </c>
    </row>
    <row r="123" spans="1:45" ht="12.75">
      <c r="A123" s="86" t="s">
        <v>70</v>
      </c>
      <c r="B123" s="87" t="s">
        <v>75</v>
      </c>
      <c r="C123" s="102">
        <f>C$121*C104</f>
        <v>10.2312</v>
      </c>
      <c r="D123" s="49">
        <f>D$121*D104</f>
        <v>10.1268</v>
      </c>
      <c r="E123" s="49">
        <f>C115</f>
        <v>13.571999999999997</v>
      </c>
      <c r="F123" s="96">
        <f>SUM(C123:E123)</f>
        <v>33.92999999999999</v>
      </c>
      <c r="G123" s="96">
        <f>C90</f>
        <v>40.4612</v>
      </c>
      <c r="H123" s="111">
        <f>F123-G123</f>
        <v>-6.5312000000000054</v>
      </c>
      <c r="AN123" s="84" t="s">
        <v>70</v>
      </c>
      <c r="AO123" s="85" t="s">
        <v>75</v>
      </c>
      <c r="AP123" s="124">
        <f>AQ123+AR123</f>
        <v>-3.839229647630629</v>
      </c>
      <c r="AQ123" s="125">
        <f>AQ$122*AP104</f>
        <v>-1.7569356014580846</v>
      </c>
      <c r="AR123" s="126">
        <f>AR$122*AQ104</f>
        <v>-2.0822940461725445</v>
      </c>
      <c r="AS123" s="131">
        <f>AV104-AP123</f>
        <v>44.30042964763063</v>
      </c>
    </row>
    <row r="124" spans="1:45" ht="12.75">
      <c r="A124" s="86" t="s">
        <v>72</v>
      </c>
      <c r="B124" s="87" t="s">
        <v>82</v>
      </c>
      <c r="C124" s="116">
        <f aca="true" t="shared" si="5" ref="C124:D126">C$121*C105*10</f>
        <v>469.79999999999995</v>
      </c>
      <c r="D124" s="105">
        <f t="shared" si="5"/>
        <v>2348.9999999999995</v>
      </c>
      <c r="E124" s="105">
        <f>C116</f>
        <v>1670.4</v>
      </c>
      <c r="F124" s="96">
        <f>SUM(C124:E124)</f>
        <v>4489.199999999999</v>
      </c>
      <c r="G124" s="112">
        <f>D90</f>
        <v>3932.2</v>
      </c>
      <c r="H124" s="113">
        <f>F124-G124</f>
        <v>556.9999999999991</v>
      </c>
      <c r="AN124" s="86" t="s">
        <v>72</v>
      </c>
      <c r="AO124" s="87" t="s">
        <v>76</v>
      </c>
      <c r="AP124" s="127">
        <f>AQ124+AR124</f>
        <v>-339.6742162818963</v>
      </c>
      <c r="AQ124" s="128">
        <f aca="true" t="shared" si="6" ref="AQ124:AR126">AQ$122*AP105*10</f>
        <v>-234.25808019441124</v>
      </c>
      <c r="AR124" s="129">
        <f t="shared" si="6"/>
        <v>-105.41613608748506</v>
      </c>
      <c r="AS124" s="132">
        <f>AV105-AP124</f>
        <v>4271.874216281896</v>
      </c>
    </row>
    <row r="125" spans="1:45" ht="12.75">
      <c r="A125" s="86" t="s">
        <v>73</v>
      </c>
      <c r="B125" s="87" t="s">
        <v>82</v>
      </c>
      <c r="C125" s="116">
        <f t="shared" si="5"/>
        <v>1.5659999999999996</v>
      </c>
      <c r="D125" s="105">
        <f t="shared" si="5"/>
        <v>15.659999999999998</v>
      </c>
      <c r="E125" s="105">
        <f>C117</f>
        <v>150.33599999999998</v>
      </c>
      <c r="F125" s="96">
        <f>SUM(C125:E125)</f>
        <v>167.56199999999998</v>
      </c>
      <c r="G125" s="112">
        <f>E90</f>
        <v>146.8</v>
      </c>
      <c r="H125" s="113">
        <f>F125-G125</f>
        <v>20.761999999999972</v>
      </c>
      <c r="AN125" s="86" t="s">
        <v>73</v>
      </c>
      <c r="AO125" s="87" t="s">
        <v>76</v>
      </c>
      <c r="AP125" s="127">
        <f>AQ125+AR125</f>
        <v>-21.34351397326858</v>
      </c>
      <c r="AQ125" s="128">
        <f t="shared" si="6"/>
        <v>-18.350216281895545</v>
      </c>
      <c r="AR125" s="129">
        <f t="shared" si="6"/>
        <v>-2.993297691373033</v>
      </c>
      <c r="AS125" s="132">
        <f>AV106-AP125</f>
        <v>168.1435139732686</v>
      </c>
    </row>
    <row r="126" spans="1:45" ht="13.5" thickBot="1">
      <c r="A126" s="89" t="s">
        <v>74</v>
      </c>
      <c r="B126" s="90" t="s">
        <v>82</v>
      </c>
      <c r="C126" s="117">
        <f t="shared" si="5"/>
        <v>15.137999999999998</v>
      </c>
      <c r="D126" s="107">
        <f t="shared" si="5"/>
        <v>35.495999999999995</v>
      </c>
      <c r="E126" s="107">
        <f>C118</f>
        <v>26.1</v>
      </c>
      <c r="F126" s="96">
        <f>SUM(C126:E126)</f>
        <v>76.734</v>
      </c>
      <c r="G126" s="114">
        <f>F90</f>
        <v>93.2</v>
      </c>
      <c r="H126" s="115">
        <f>F126-G126</f>
        <v>-16.466000000000008</v>
      </c>
      <c r="AN126" s="89" t="s">
        <v>74</v>
      </c>
      <c r="AO126" s="90" t="s">
        <v>76</v>
      </c>
      <c r="AP126" s="130">
        <f>AQ126+AR126</f>
        <v>-5.726308626974498</v>
      </c>
      <c r="AQ126" s="114">
        <f t="shared" si="6"/>
        <v>-2.863154313487249</v>
      </c>
      <c r="AR126" s="115">
        <f t="shared" si="6"/>
        <v>-2.863154313487249</v>
      </c>
      <c r="AS126" s="133">
        <f>AV107-AP126</f>
        <v>98.9263086269745</v>
      </c>
    </row>
    <row r="128" spans="40:45" ht="13.5" thickBot="1">
      <c r="AN128" s="89" t="s">
        <v>74</v>
      </c>
      <c r="AP128" s="109" t="e">
        <f>#REF!-#REF!</f>
        <v>#REF!</v>
      </c>
      <c r="AS128" s="109" t="e">
        <f>#REF!*AT107*10</f>
        <v>#REF!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Dip. Scienze Zootecniche</dc:creator>
  <cp:keywords/>
  <dc:description/>
  <cp:lastModifiedBy>Bailoni</cp:lastModifiedBy>
  <dcterms:created xsi:type="dcterms:W3CDTF">2000-03-16T10:16:39Z</dcterms:created>
  <dcterms:modified xsi:type="dcterms:W3CDTF">2014-05-28T06:47:57Z</dcterms:modified>
  <cp:category/>
  <cp:version/>
  <cp:contentType/>
  <cp:contentStatus/>
</cp:coreProperties>
</file>